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5480" windowHeight="11640"/>
  </bookViews>
  <sheets>
    <sheet name="Расшифровка Скор-ий-2018г" sheetId="13" r:id="rId1"/>
  </sheets>
  <calcPr calcId="144525"/>
</workbook>
</file>

<file path=xl/calcChain.xml><?xml version="1.0" encoding="utf-8"?>
<calcChain xmlns="http://schemas.openxmlformats.org/spreadsheetml/2006/main">
  <c r="L409" i="13" l="1"/>
  <c r="L354" i="13"/>
  <c r="L305" i="13"/>
  <c r="L164" i="13" l="1"/>
  <c r="L183" i="13"/>
  <c r="L138" i="13"/>
  <c r="L247" i="13" l="1"/>
  <c r="L28" i="13" l="1"/>
  <c r="G227" i="13" l="1"/>
  <c r="G226" i="13"/>
  <c r="G207" i="13"/>
  <c r="G206" i="13"/>
  <c r="G190" i="13"/>
  <c r="R486" i="13" l="1"/>
  <c r="Q486" i="13"/>
  <c r="P486" i="13"/>
  <c r="O486" i="13"/>
  <c r="N486" i="13"/>
  <c r="M486" i="13"/>
  <c r="L486" i="13"/>
  <c r="K486" i="13"/>
  <c r="J486" i="13"/>
  <c r="I486" i="13"/>
  <c r="H486" i="13"/>
  <c r="G486" i="13"/>
  <c r="G487" i="13" s="1"/>
  <c r="R464" i="13"/>
  <c r="Q464" i="13"/>
  <c r="P464" i="13"/>
  <c r="O464" i="13"/>
  <c r="N464" i="13"/>
  <c r="M464" i="13"/>
  <c r="L464" i="13"/>
  <c r="K464" i="13"/>
  <c r="J464" i="13"/>
  <c r="I464" i="13"/>
  <c r="H464" i="13"/>
  <c r="G464" i="13"/>
  <c r="R449" i="13"/>
  <c r="Q449" i="13"/>
  <c r="P449" i="13"/>
  <c r="O449" i="13"/>
  <c r="N449" i="13"/>
  <c r="M449" i="13"/>
  <c r="L449" i="13"/>
  <c r="K449" i="13"/>
  <c r="J449" i="13"/>
  <c r="I449" i="13"/>
  <c r="H449" i="13"/>
  <c r="G449" i="13"/>
  <c r="R434" i="13"/>
  <c r="Q434" i="13"/>
  <c r="P434" i="13"/>
  <c r="O434" i="13"/>
  <c r="N434" i="13"/>
  <c r="M434" i="13"/>
  <c r="L434" i="13"/>
  <c r="K434" i="13"/>
  <c r="J434" i="13"/>
  <c r="I434" i="13"/>
  <c r="H434" i="13"/>
  <c r="G434" i="13"/>
  <c r="R419" i="13"/>
  <c r="Q419" i="13"/>
  <c r="P419" i="13"/>
  <c r="O419" i="13"/>
  <c r="N419" i="13"/>
  <c r="M419" i="13"/>
  <c r="L419" i="13"/>
  <c r="K419" i="13"/>
  <c r="J419" i="13"/>
  <c r="I419" i="13"/>
  <c r="H419" i="13"/>
  <c r="G419" i="13"/>
  <c r="R403" i="13"/>
  <c r="Q403" i="13"/>
  <c r="P403" i="13"/>
  <c r="O403" i="13"/>
  <c r="N403" i="13"/>
  <c r="M403" i="13"/>
  <c r="L403" i="13"/>
  <c r="K403" i="13"/>
  <c r="J403" i="13"/>
  <c r="I403" i="13"/>
  <c r="H403" i="13"/>
  <c r="G403" i="13"/>
  <c r="R387" i="13"/>
  <c r="Q387" i="13"/>
  <c r="P387" i="13"/>
  <c r="O387" i="13"/>
  <c r="N387" i="13"/>
  <c r="M387" i="13"/>
  <c r="L387" i="13"/>
  <c r="K387" i="13"/>
  <c r="J387" i="13"/>
  <c r="I387" i="13"/>
  <c r="H387" i="13"/>
  <c r="G387" i="13"/>
  <c r="R366" i="13"/>
  <c r="Q366" i="13"/>
  <c r="P366" i="13"/>
  <c r="O366" i="13"/>
  <c r="N366" i="13"/>
  <c r="M366" i="13"/>
  <c r="L366" i="13"/>
  <c r="K366" i="13"/>
  <c r="J366" i="13"/>
  <c r="I366" i="13"/>
  <c r="H366" i="13"/>
  <c r="G366" i="13"/>
  <c r="R348" i="13"/>
  <c r="Q348" i="13"/>
  <c r="P348" i="13"/>
  <c r="O348" i="13"/>
  <c r="N348" i="13"/>
  <c r="M348" i="13"/>
  <c r="L348" i="13"/>
  <c r="K348" i="13"/>
  <c r="J348" i="13"/>
  <c r="I348" i="13"/>
  <c r="H348" i="13"/>
  <c r="G348" i="13"/>
  <c r="R330" i="13"/>
  <c r="Q330" i="13"/>
  <c r="P330" i="13"/>
  <c r="O330" i="13"/>
  <c r="N330" i="13"/>
  <c r="M330" i="13"/>
  <c r="L330" i="13"/>
  <c r="K330" i="13"/>
  <c r="J330" i="13"/>
  <c r="I330" i="13"/>
  <c r="H330" i="13"/>
  <c r="G330" i="13"/>
  <c r="R315" i="13"/>
  <c r="Q315" i="13"/>
  <c r="P315" i="13"/>
  <c r="O315" i="13"/>
  <c r="N315" i="13"/>
  <c r="M315" i="13"/>
  <c r="L315" i="13"/>
  <c r="K315" i="13"/>
  <c r="J315" i="13"/>
  <c r="I315" i="13"/>
  <c r="H315" i="13"/>
  <c r="G315" i="13"/>
  <c r="R299" i="13"/>
  <c r="Q299" i="13"/>
  <c r="P299" i="13"/>
  <c r="O299" i="13"/>
  <c r="N299" i="13"/>
  <c r="M299" i="13"/>
  <c r="L299" i="13"/>
  <c r="K299" i="13"/>
  <c r="J299" i="13"/>
  <c r="I299" i="13"/>
  <c r="H299" i="13"/>
  <c r="G299" i="13"/>
  <c r="R282" i="13"/>
  <c r="Q282" i="13"/>
  <c r="P282" i="13"/>
  <c r="O282" i="13"/>
  <c r="N282" i="13"/>
  <c r="M282" i="13"/>
  <c r="L282" i="13"/>
  <c r="K282" i="13"/>
  <c r="J282" i="13"/>
  <c r="I282" i="13"/>
  <c r="H282" i="13"/>
  <c r="G282" i="13"/>
  <c r="R259" i="13"/>
  <c r="Q259" i="13"/>
  <c r="P259" i="13"/>
  <c r="O259" i="13"/>
  <c r="N259" i="13"/>
  <c r="M259" i="13"/>
  <c r="L259" i="13"/>
  <c r="K259" i="13"/>
  <c r="J259" i="13"/>
  <c r="I259" i="13"/>
  <c r="H259" i="13"/>
  <c r="G259" i="13"/>
  <c r="R243" i="13"/>
  <c r="Q243" i="13"/>
  <c r="P243" i="13"/>
  <c r="O243" i="13"/>
  <c r="N243" i="13"/>
  <c r="M243" i="13"/>
  <c r="L243" i="13"/>
  <c r="K243" i="13"/>
  <c r="J243" i="13"/>
  <c r="I243" i="13"/>
  <c r="H243" i="13"/>
  <c r="G243" i="13"/>
  <c r="R228" i="13"/>
  <c r="Q228" i="13"/>
  <c r="P228" i="13"/>
  <c r="O228" i="13"/>
  <c r="N228" i="13"/>
  <c r="M228" i="13"/>
  <c r="L228" i="13"/>
  <c r="K228" i="13"/>
  <c r="J228" i="13"/>
  <c r="I228" i="13"/>
  <c r="H228" i="13"/>
  <c r="G228" i="13"/>
  <c r="R208" i="13"/>
  <c r="Q208" i="13"/>
  <c r="P208" i="13"/>
  <c r="O208" i="13"/>
  <c r="N208" i="13"/>
  <c r="M208" i="13"/>
  <c r="L208" i="13"/>
  <c r="K208" i="13"/>
  <c r="J208" i="13"/>
  <c r="I208" i="13"/>
  <c r="H208" i="13"/>
  <c r="G208" i="13"/>
  <c r="R192" i="13"/>
  <c r="Q192" i="13"/>
  <c r="P192" i="13"/>
  <c r="O192" i="13"/>
  <c r="N192" i="13"/>
  <c r="M192" i="13"/>
  <c r="L192" i="13"/>
  <c r="K192" i="13"/>
  <c r="J192" i="13"/>
  <c r="I192" i="13"/>
  <c r="H192" i="13"/>
  <c r="G192" i="13"/>
  <c r="R169" i="13"/>
  <c r="Q169" i="13"/>
  <c r="P169" i="13"/>
  <c r="O169" i="13"/>
  <c r="N169" i="13"/>
  <c r="M169" i="13"/>
  <c r="L169" i="13"/>
  <c r="K169" i="13"/>
  <c r="J169" i="13"/>
  <c r="I169" i="13"/>
  <c r="H169" i="13"/>
  <c r="G169" i="13"/>
  <c r="R152" i="13"/>
  <c r="Q152" i="13"/>
  <c r="P152" i="13"/>
  <c r="O152" i="13"/>
  <c r="N152" i="13"/>
  <c r="M152" i="13"/>
  <c r="L152" i="13"/>
  <c r="K152" i="13"/>
  <c r="J152" i="13"/>
  <c r="I152" i="13"/>
  <c r="H152" i="13"/>
  <c r="G152" i="13"/>
  <c r="R134" i="13"/>
  <c r="Q134" i="13"/>
  <c r="P134" i="13"/>
  <c r="O134" i="13"/>
  <c r="N134" i="13"/>
  <c r="M134" i="13"/>
  <c r="L134" i="13"/>
  <c r="K134" i="13"/>
  <c r="J134" i="13"/>
  <c r="I134" i="13"/>
  <c r="H134" i="13"/>
  <c r="G134" i="13"/>
  <c r="R118" i="13"/>
  <c r="Q118" i="13"/>
  <c r="P118" i="13"/>
  <c r="O118" i="13"/>
  <c r="N118" i="13"/>
  <c r="M118" i="13"/>
  <c r="L118" i="13"/>
  <c r="K118" i="13"/>
  <c r="J118" i="13"/>
  <c r="I118" i="13"/>
  <c r="H118" i="13"/>
  <c r="G118" i="13"/>
  <c r="R102" i="13"/>
  <c r="Q102" i="13"/>
  <c r="P102" i="13"/>
  <c r="O102" i="13"/>
  <c r="N102" i="13"/>
  <c r="M102" i="13"/>
  <c r="L102" i="13"/>
  <c r="K102" i="13"/>
  <c r="J102" i="13"/>
  <c r="I102" i="13"/>
  <c r="H102" i="13"/>
  <c r="G102" i="13"/>
  <c r="R84" i="13"/>
  <c r="Q84" i="13"/>
  <c r="P84" i="13"/>
  <c r="O84" i="13"/>
  <c r="N84" i="13"/>
  <c r="M84" i="13"/>
  <c r="L84" i="13"/>
  <c r="K84" i="13"/>
  <c r="J84" i="13"/>
  <c r="I84" i="13"/>
  <c r="H84" i="13"/>
  <c r="G84" i="13"/>
  <c r="R66" i="13"/>
  <c r="Q66" i="13"/>
  <c r="P66" i="13"/>
  <c r="O66" i="13"/>
  <c r="N66" i="13"/>
  <c r="M66" i="13"/>
  <c r="L66" i="13"/>
  <c r="K66" i="13"/>
  <c r="J66" i="13"/>
  <c r="I66" i="13"/>
  <c r="H66" i="13"/>
  <c r="G66" i="13"/>
  <c r="G50" i="13"/>
  <c r="R50" i="13"/>
  <c r="Q50" i="13"/>
  <c r="P50" i="13"/>
  <c r="O50" i="13"/>
  <c r="N50" i="13"/>
  <c r="M50" i="13"/>
  <c r="L50" i="13"/>
  <c r="K50" i="13"/>
  <c r="J50" i="13"/>
  <c r="I50" i="13"/>
  <c r="H50" i="13"/>
  <c r="H33" i="13"/>
  <c r="I33" i="13"/>
  <c r="J33" i="13"/>
  <c r="K33" i="13"/>
  <c r="L33" i="13"/>
  <c r="M33" i="13"/>
  <c r="N33" i="13"/>
  <c r="O33" i="13"/>
  <c r="P33" i="13"/>
  <c r="Q33" i="13"/>
  <c r="R33" i="13"/>
  <c r="G33" i="13"/>
  <c r="H16" i="13"/>
  <c r="I16" i="13"/>
  <c r="J16" i="13"/>
  <c r="K16" i="13"/>
  <c r="L16" i="13"/>
  <c r="M16" i="13"/>
  <c r="N16" i="13"/>
  <c r="O16" i="13"/>
  <c r="P16" i="13"/>
  <c r="Q16" i="13"/>
  <c r="R16" i="13"/>
  <c r="G16" i="13"/>
  <c r="H462" i="13"/>
  <c r="H501" i="13" s="1"/>
  <c r="I462" i="13"/>
  <c r="J462" i="13"/>
  <c r="K462" i="13"/>
  <c r="L462" i="13"/>
  <c r="L501" i="13" s="1"/>
  <c r="M462" i="13"/>
  <c r="M501" i="13" s="1"/>
  <c r="N462" i="13"/>
  <c r="O462" i="13"/>
  <c r="P462" i="13"/>
  <c r="P501" i="13" s="1"/>
  <c r="Q462" i="13"/>
  <c r="Q501" i="13" s="1"/>
  <c r="R462" i="13"/>
  <c r="H463" i="13"/>
  <c r="I463" i="13"/>
  <c r="I502" i="13" s="1"/>
  <c r="J463" i="13"/>
  <c r="K463" i="13"/>
  <c r="L463" i="13"/>
  <c r="M463" i="13"/>
  <c r="N463" i="13"/>
  <c r="O463" i="13"/>
  <c r="P463" i="13"/>
  <c r="Q463" i="13"/>
  <c r="R463" i="13"/>
  <c r="J501" i="13"/>
  <c r="J502" i="13"/>
  <c r="I501" i="13"/>
  <c r="H502" i="13"/>
  <c r="G502" i="13"/>
  <c r="G501" i="13"/>
  <c r="K501" i="13"/>
  <c r="N501" i="13"/>
  <c r="O501" i="13"/>
  <c r="R501" i="13"/>
  <c r="K502" i="13"/>
  <c r="L502" i="13"/>
  <c r="M502" i="13"/>
  <c r="N502" i="13"/>
  <c r="O502" i="13"/>
  <c r="P502" i="13"/>
  <c r="Q502" i="13"/>
  <c r="R502" i="13"/>
  <c r="S501" i="13"/>
  <c r="T501" i="13"/>
  <c r="U501" i="13"/>
  <c r="V501" i="13"/>
  <c r="S502" i="13"/>
  <c r="T502" i="13"/>
  <c r="U502" i="13"/>
  <c r="V502" i="13"/>
  <c r="H484" i="13"/>
  <c r="I484" i="13"/>
  <c r="J484" i="13"/>
  <c r="K484" i="13"/>
  <c r="L484" i="13"/>
  <c r="M484" i="13"/>
  <c r="N484" i="13"/>
  <c r="O484" i="13"/>
  <c r="P484" i="13"/>
  <c r="Q484" i="13"/>
  <c r="R484" i="13"/>
  <c r="H485" i="13"/>
  <c r="I485" i="13"/>
  <c r="J485" i="13"/>
  <c r="K485" i="13"/>
  <c r="L485" i="13"/>
  <c r="M485" i="13"/>
  <c r="N485" i="13"/>
  <c r="O485" i="13"/>
  <c r="P485" i="13"/>
  <c r="Q485" i="13"/>
  <c r="R485" i="13"/>
  <c r="G485" i="13"/>
  <c r="G463" i="13"/>
  <c r="R450" i="13"/>
  <c r="R451" i="13" s="1"/>
  <c r="H447" i="13"/>
  <c r="I447" i="13"/>
  <c r="J447" i="13"/>
  <c r="K447" i="13"/>
  <c r="L447" i="13"/>
  <c r="M447" i="13"/>
  <c r="N447" i="13"/>
  <c r="O447" i="13"/>
  <c r="P447" i="13"/>
  <c r="Q447" i="13"/>
  <c r="R447" i="13"/>
  <c r="H448" i="13"/>
  <c r="I448" i="13"/>
  <c r="J448" i="13"/>
  <c r="K448" i="13"/>
  <c r="L448" i="13"/>
  <c r="M448" i="13"/>
  <c r="N448" i="13"/>
  <c r="O448" i="13"/>
  <c r="P448" i="13"/>
  <c r="Q448" i="13"/>
  <c r="R448" i="13"/>
  <c r="G448" i="13"/>
  <c r="H432" i="13"/>
  <c r="I432" i="13"/>
  <c r="J432" i="13"/>
  <c r="K432" i="13"/>
  <c r="L432" i="13"/>
  <c r="M432" i="13"/>
  <c r="N432" i="13"/>
  <c r="O432" i="13"/>
  <c r="P432" i="13"/>
  <c r="Q432" i="13"/>
  <c r="R432" i="13"/>
  <c r="H433" i="13"/>
  <c r="I433" i="13"/>
  <c r="J433" i="13"/>
  <c r="K433" i="13"/>
  <c r="L433" i="13"/>
  <c r="M433" i="13"/>
  <c r="N433" i="13"/>
  <c r="O433" i="13"/>
  <c r="P433" i="13"/>
  <c r="Q433" i="13"/>
  <c r="R433" i="13"/>
  <c r="G433" i="13"/>
  <c r="R420" i="13"/>
  <c r="R421" i="13" s="1"/>
  <c r="H417" i="13"/>
  <c r="I417" i="13"/>
  <c r="J417" i="13"/>
  <c r="K417" i="13"/>
  <c r="L417" i="13"/>
  <c r="M417" i="13"/>
  <c r="N417" i="13"/>
  <c r="O417" i="13"/>
  <c r="P417" i="13"/>
  <c r="Q417" i="13"/>
  <c r="R417" i="13"/>
  <c r="H418" i="13"/>
  <c r="I418" i="13"/>
  <c r="J418" i="13"/>
  <c r="K418" i="13"/>
  <c r="L418" i="13"/>
  <c r="M418" i="13"/>
  <c r="N418" i="13"/>
  <c r="O418" i="13"/>
  <c r="P418" i="13"/>
  <c r="Q418" i="13"/>
  <c r="R418" i="13"/>
  <c r="G418" i="13"/>
  <c r="G417" i="13"/>
  <c r="H401" i="13"/>
  <c r="I401" i="13"/>
  <c r="J401" i="13"/>
  <c r="K401" i="13"/>
  <c r="L401" i="13"/>
  <c r="M401" i="13"/>
  <c r="N401" i="13"/>
  <c r="O401" i="13"/>
  <c r="P401" i="13"/>
  <c r="Q401" i="13"/>
  <c r="R401" i="13"/>
  <c r="H402" i="13"/>
  <c r="I402" i="13"/>
  <c r="J402" i="13"/>
  <c r="K402" i="13"/>
  <c r="L402" i="13"/>
  <c r="M402" i="13"/>
  <c r="N402" i="13"/>
  <c r="O402" i="13"/>
  <c r="P402" i="13"/>
  <c r="Q402" i="13"/>
  <c r="R402" i="13"/>
  <c r="G402" i="13"/>
  <c r="G401" i="13"/>
  <c r="H385" i="13"/>
  <c r="I385" i="13"/>
  <c r="J385" i="13"/>
  <c r="K385" i="13"/>
  <c r="L385" i="13"/>
  <c r="M385" i="13"/>
  <c r="N385" i="13"/>
  <c r="O385" i="13"/>
  <c r="P385" i="13"/>
  <c r="Q385" i="13"/>
  <c r="R385" i="13"/>
  <c r="H386" i="13"/>
  <c r="I386" i="13"/>
  <c r="J386" i="13"/>
  <c r="K386" i="13"/>
  <c r="L386" i="13"/>
  <c r="M386" i="13"/>
  <c r="N386" i="13"/>
  <c r="O386" i="13"/>
  <c r="P386" i="13"/>
  <c r="Q386" i="13"/>
  <c r="R386" i="13"/>
  <c r="G386" i="13"/>
  <c r="H364" i="13"/>
  <c r="I364" i="13"/>
  <c r="J364" i="13"/>
  <c r="K364" i="13"/>
  <c r="L364" i="13"/>
  <c r="M364" i="13"/>
  <c r="N364" i="13"/>
  <c r="O364" i="13"/>
  <c r="P364" i="13"/>
  <c r="Q364" i="13"/>
  <c r="R364" i="13"/>
  <c r="H365" i="13"/>
  <c r="I365" i="13"/>
  <c r="J365" i="13"/>
  <c r="K365" i="13"/>
  <c r="L365" i="13"/>
  <c r="M365" i="13"/>
  <c r="N365" i="13"/>
  <c r="O365" i="13"/>
  <c r="P365" i="13"/>
  <c r="Q365" i="13"/>
  <c r="R365" i="13"/>
  <c r="G365" i="13"/>
  <c r="H346" i="13"/>
  <c r="I346" i="13"/>
  <c r="J346" i="13"/>
  <c r="K346" i="13"/>
  <c r="L346" i="13"/>
  <c r="M346" i="13"/>
  <c r="N346" i="13"/>
  <c r="O346" i="13"/>
  <c r="P346" i="13"/>
  <c r="Q346" i="13"/>
  <c r="R346" i="13"/>
  <c r="H347" i="13"/>
  <c r="I347" i="13"/>
  <c r="J347" i="13"/>
  <c r="K347" i="13"/>
  <c r="L347" i="13"/>
  <c r="M347" i="13"/>
  <c r="N347" i="13"/>
  <c r="O347" i="13"/>
  <c r="P347" i="13"/>
  <c r="Q347" i="13"/>
  <c r="R347" i="13"/>
  <c r="G347" i="13"/>
  <c r="R331" i="13"/>
  <c r="R332" i="13" s="1"/>
  <c r="H328" i="13"/>
  <c r="I328" i="13"/>
  <c r="J328" i="13"/>
  <c r="K328" i="13"/>
  <c r="L328" i="13"/>
  <c r="M328" i="13"/>
  <c r="N328" i="13"/>
  <c r="O328" i="13"/>
  <c r="P328" i="13"/>
  <c r="Q328" i="13"/>
  <c r="R328" i="13"/>
  <c r="H329" i="13"/>
  <c r="I329" i="13"/>
  <c r="J329" i="13"/>
  <c r="K329" i="13"/>
  <c r="L329" i="13"/>
  <c r="M329" i="13"/>
  <c r="N329" i="13"/>
  <c r="O329" i="13"/>
  <c r="P329" i="13"/>
  <c r="Q329" i="13"/>
  <c r="R329" i="13"/>
  <c r="G329" i="13"/>
  <c r="H313" i="13"/>
  <c r="I313" i="13"/>
  <c r="J313" i="13"/>
  <c r="K313" i="13"/>
  <c r="L313" i="13"/>
  <c r="M313" i="13"/>
  <c r="N313" i="13"/>
  <c r="O313" i="13"/>
  <c r="P313" i="13"/>
  <c r="Q313" i="13"/>
  <c r="R313" i="13"/>
  <c r="H314" i="13"/>
  <c r="I314" i="13"/>
  <c r="J314" i="13"/>
  <c r="K314" i="13"/>
  <c r="L314" i="13"/>
  <c r="M314" i="13"/>
  <c r="N314" i="13"/>
  <c r="O314" i="13"/>
  <c r="P314" i="13"/>
  <c r="Q314" i="13"/>
  <c r="R314" i="13"/>
  <c r="G314" i="13"/>
  <c r="H297" i="13"/>
  <c r="I297" i="13"/>
  <c r="J297" i="13"/>
  <c r="K297" i="13"/>
  <c r="L297" i="13"/>
  <c r="M297" i="13"/>
  <c r="N297" i="13"/>
  <c r="O297" i="13"/>
  <c r="P297" i="13"/>
  <c r="Q297" i="13"/>
  <c r="R297" i="13"/>
  <c r="H298" i="13"/>
  <c r="I298" i="13"/>
  <c r="J298" i="13"/>
  <c r="K298" i="13"/>
  <c r="L298" i="13"/>
  <c r="M298" i="13"/>
  <c r="N298" i="13"/>
  <c r="O298" i="13"/>
  <c r="P298" i="13"/>
  <c r="Q298" i="13"/>
  <c r="R298" i="13"/>
  <c r="G298" i="13"/>
  <c r="H280" i="13"/>
  <c r="I280" i="13"/>
  <c r="J280" i="13"/>
  <c r="K280" i="13"/>
  <c r="L280" i="13"/>
  <c r="M280" i="13"/>
  <c r="N280" i="13"/>
  <c r="O280" i="13"/>
  <c r="P280" i="13"/>
  <c r="Q280" i="13"/>
  <c r="R280" i="13"/>
  <c r="H281" i="13"/>
  <c r="I281" i="13"/>
  <c r="J281" i="13"/>
  <c r="K281" i="13"/>
  <c r="L281" i="13"/>
  <c r="M281" i="13"/>
  <c r="N281" i="13"/>
  <c r="O281" i="13"/>
  <c r="P281" i="13"/>
  <c r="Q281" i="13"/>
  <c r="R281" i="13"/>
  <c r="G281" i="13"/>
  <c r="H257" i="13"/>
  <c r="I257" i="13"/>
  <c r="J257" i="13"/>
  <c r="K257" i="13"/>
  <c r="L257" i="13"/>
  <c r="M257" i="13"/>
  <c r="N257" i="13"/>
  <c r="O257" i="13"/>
  <c r="P257" i="13"/>
  <c r="Q257" i="13"/>
  <c r="R257" i="13"/>
  <c r="H258" i="13"/>
  <c r="I258" i="13"/>
  <c r="J258" i="13"/>
  <c r="K258" i="13"/>
  <c r="L258" i="13"/>
  <c r="M258" i="13"/>
  <c r="N258" i="13"/>
  <c r="O258" i="13"/>
  <c r="P258" i="13"/>
  <c r="Q258" i="13"/>
  <c r="R258" i="13"/>
  <c r="G258" i="13"/>
  <c r="H242" i="13"/>
  <c r="I242" i="13"/>
  <c r="J242" i="13"/>
  <c r="K242" i="13"/>
  <c r="L242" i="13"/>
  <c r="M242" i="13"/>
  <c r="N242" i="13"/>
  <c r="O242" i="13"/>
  <c r="P242" i="13"/>
  <c r="Q242" i="13"/>
  <c r="R242" i="13"/>
  <c r="G242" i="13"/>
  <c r="H226" i="13"/>
  <c r="I226" i="13"/>
  <c r="J226" i="13"/>
  <c r="K226" i="13"/>
  <c r="L226" i="13"/>
  <c r="M226" i="13"/>
  <c r="N226" i="13"/>
  <c r="O226" i="13"/>
  <c r="P226" i="13"/>
  <c r="Q226" i="13"/>
  <c r="R226" i="13"/>
  <c r="H227" i="13"/>
  <c r="I227" i="13"/>
  <c r="J227" i="13"/>
  <c r="K227" i="13"/>
  <c r="L227" i="13"/>
  <c r="M227" i="13"/>
  <c r="N227" i="13"/>
  <c r="O227" i="13"/>
  <c r="P227" i="13"/>
  <c r="Q227" i="13"/>
  <c r="R227" i="13"/>
  <c r="H206" i="13"/>
  <c r="I206" i="13"/>
  <c r="J206" i="13"/>
  <c r="K206" i="13"/>
  <c r="L206" i="13"/>
  <c r="M206" i="13"/>
  <c r="N206" i="13"/>
  <c r="O206" i="13"/>
  <c r="P206" i="13"/>
  <c r="Q206" i="13"/>
  <c r="R206" i="13"/>
  <c r="H207" i="13"/>
  <c r="I207" i="13"/>
  <c r="J207" i="13"/>
  <c r="K207" i="13"/>
  <c r="L207" i="13"/>
  <c r="M207" i="13"/>
  <c r="N207" i="13"/>
  <c r="O207" i="13"/>
  <c r="P207" i="13"/>
  <c r="Q207" i="13"/>
  <c r="R207" i="13"/>
  <c r="H191" i="13"/>
  <c r="I191" i="13"/>
  <c r="J191" i="13"/>
  <c r="K191" i="13"/>
  <c r="L191" i="13"/>
  <c r="M191" i="13"/>
  <c r="N191" i="13"/>
  <c r="O191" i="13"/>
  <c r="P191" i="13"/>
  <c r="Q191" i="13"/>
  <c r="R191" i="13"/>
  <c r="G191" i="13"/>
  <c r="H190" i="13"/>
  <c r="I190" i="13"/>
  <c r="J190" i="13"/>
  <c r="K190" i="13"/>
  <c r="L190" i="13"/>
  <c r="M190" i="13"/>
  <c r="N190" i="13"/>
  <c r="O190" i="13"/>
  <c r="P190" i="13"/>
  <c r="Q190" i="13"/>
  <c r="R190" i="13"/>
  <c r="H167" i="13"/>
  <c r="I167" i="13"/>
  <c r="J167" i="13"/>
  <c r="K167" i="13"/>
  <c r="L167" i="13"/>
  <c r="M167" i="13"/>
  <c r="N167" i="13"/>
  <c r="O167" i="13"/>
  <c r="P167" i="13"/>
  <c r="Q167" i="13"/>
  <c r="R167" i="13"/>
  <c r="S167" i="13"/>
  <c r="T167" i="13"/>
  <c r="U167" i="13"/>
  <c r="V167" i="13"/>
  <c r="H168" i="13"/>
  <c r="I168" i="13"/>
  <c r="J168" i="13"/>
  <c r="K168" i="13"/>
  <c r="L168" i="13"/>
  <c r="M168" i="13"/>
  <c r="N168" i="13"/>
  <c r="O168" i="13"/>
  <c r="P168" i="13"/>
  <c r="Q168" i="13"/>
  <c r="R168" i="13"/>
  <c r="S168" i="13"/>
  <c r="T168" i="13"/>
  <c r="U168" i="13"/>
  <c r="V168" i="13"/>
  <c r="G168" i="13"/>
  <c r="H151" i="13"/>
  <c r="I151" i="13"/>
  <c r="J151" i="13"/>
  <c r="K151" i="13"/>
  <c r="L151" i="13"/>
  <c r="M151" i="13"/>
  <c r="N151" i="13"/>
  <c r="O151" i="13"/>
  <c r="P151" i="13"/>
  <c r="Q151" i="13"/>
  <c r="R151" i="13"/>
  <c r="G151" i="13"/>
  <c r="H150" i="13"/>
  <c r="I150" i="13"/>
  <c r="J150" i="13"/>
  <c r="K150" i="13"/>
  <c r="L150" i="13"/>
  <c r="M150" i="13"/>
  <c r="N150" i="13"/>
  <c r="O150" i="13"/>
  <c r="P150" i="13"/>
  <c r="Q150" i="13"/>
  <c r="R150" i="13"/>
  <c r="H132" i="13"/>
  <c r="I132" i="13"/>
  <c r="J132" i="13"/>
  <c r="K132" i="13"/>
  <c r="L132" i="13"/>
  <c r="M132" i="13"/>
  <c r="N132" i="13"/>
  <c r="O132" i="13"/>
  <c r="P132" i="13"/>
  <c r="Q132" i="13"/>
  <c r="R132" i="13"/>
  <c r="H133" i="13"/>
  <c r="I133" i="13"/>
  <c r="J133" i="13"/>
  <c r="K133" i="13"/>
  <c r="L133" i="13"/>
  <c r="M133" i="13"/>
  <c r="N133" i="13"/>
  <c r="O133" i="13"/>
  <c r="P133" i="13"/>
  <c r="Q133" i="13"/>
  <c r="R133" i="13"/>
  <c r="G133" i="13"/>
  <c r="H117" i="13"/>
  <c r="I117" i="13"/>
  <c r="J117" i="13"/>
  <c r="K117" i="13"/>
  <c r="L117" i="13"/>
  <c r="M117" i="13"/>
  <c r="N117" i="13"/>
  <c r="O117" i="13"/>
  <c r="P117" i="13"/>
  <c r="Q117" i="13"/>
  <c r="R117" i="13"/>
  <c r="G117" i="13"/>
  <c r="H116" i="13"/>
  <c r="I116" i="13"/>
  <c r="J116" i="13"/>
  <c r="K116" i="13"/>
  <c r="L116" i="13"/>
  <c r="M116" i="13"/>
  <c r="N116" i="13"/>
  <c r="O116" i="13"/>
  <c r="P116" i="13"/>
  <c r="Q116" i="13"/>
  <c r="R116" i="13"/>
  <c r="H101" i="13"/>
  <c r="I101" i="13"/>
  <c r="J101" i="13"/>
  <c r="K101" i="13"/>
  <c r="L101" i="13"/>
  <c r="M101" i="13"/>
  <c r="N101" i="13"/>
  <c r="O101" i="13"/>
  <c r="P101" i="13"/>
  <c r="Q101" i="13"/>
  <c r="R101" i="13"/>
  <c r="G101" i="13"/>
  <c r="H100" i="13"/>
  <c r="I100" i="13"/>
  <c r="J100" i="13"/>
  <c r="K100" i="13"/>
  <c r="L100" i="13"/>
  <c r="M100" i="13"/>
  <c r="N100" i="13"/>
  <c r="O100" i="13"/>
  <c r="P100" i="13"/>
  <c r="Q100" i="13"/>
  <c r="R100" i="13"/>
  <c r="H83" i="13"/>
  <c r="I83" i="13"/>
  <c r="J83" i="13"/>
  <c r="K83" i="13"/>
  <c r="L83" i="13"/>
  <c r="M83" i="13"/>
  <c r="N83" i="13"/>
  <c r="O83" i="13"/>
  <c r="P83" i="13"/>
  <c r="Q83" i="13"/>
  <c r="R83" i="13"/>
  <c r="G83" i="13"/>
  <c r="H82" i="13"/>
  <c r="I82" i="13"/>
  <c r="J82" i="13"/>
  <c r="K82" i="13"/>
  <c r="L82" i="13"/>
  <c r="M82" i="13"/>
  <c r="N82" i="13"/>
  <c r="O82" i="13"/>
  <c r="P82" i="13"/>
  <c r="Q82" i="13"/>
  <c r="R82" i="13"/>
  <c r="H65" i="13"/>
  <c r="I65" i="13"/>
  <c r="J65" i="13"/>
  <c r="K65" i="13"/>
  <c r="L65" i="13"/>
  <c r="M65" i="13"/>
  <c r="N65" i="13"/>
  <c r="O65" i="13"/>
  <c r="P65" i="13"/>
  <c r="Q65" i="13"/>
  <c r="R65" i="13"/>
  <c r="G65" i="13"/>
  <c r="H49" i="13"/>
  <c r="I49" i="13"/>
  <c r="J49" i="13"/>
  <c r="K49" i="13"/>
  <c r="L49" i="13"/>
  <c r="M49" i="13"/>
  <c r="N49" i="13"/>
  <c r="O49" i="13"/>
  <c r="P49" i="13"/>
  <c r="Q49" i="13"/>
  <c r="R49" i="13"/>
  <c r="G49" i="13"/>
  <c r="H32" i="13"/>
  <c r="I32" i="13"/>
  <c r="J32" i="13"/>
  <c r="K32" i="13"/>
  <c r="L32" i="13"/>
  <c r="M32" i="13"/>
  <c r="N32" i="13"/>
  <c r="O32" i="13"/>
  <c r="P32" i="13"/>
  <c r="Q32" i="13"/>
  <c r="R32" i="13"/>
  <c r="G32" i="13"/>
  <c r="G48" i="13"/>
  <c r="H31" i="13"/>
  <c r="I31" i="13"/>
  <c r="J31" i="13"/>
  <c r="K31" i="13"/>
  <c r="L31" i="13"/>
  <c r="M31" i="13"/>
  <c r="N31" i="13"/>
  <c r="O31" i="13"/>
  <c r="P31" i="13"/>
  <c r="Q31" i="13"/>
  <c r="R31" i="13"/>
  <c r="G31" i="13"/>
  <c r="H64" i="13"/>
  <c r="I64" i="13"/>
  <c r="J64" i="13"/>
  <c r="K64" i="13"/>
  <c r="L64" i="13"/>
  <c r="M64" i="13"/>
  <c r="N64" i="13"/>
  <c r="O64" i="13"/>
  <c r="P64" i="13"/>
  <c r="Q64" i="13"/>
  <c r="R64" i="13"/>
  <c r="G64" i="13"/>
  <c r="R10" i="13"/>
  <c r="S49" i="13"/>
  <c r="T49" i="13"/>
  <c r="U49" i="13"/>
  <c r="V49" i="13"/>
  <c r="H48" i="13"/>
  <c r="I48" i="13"/>
  <c r="J48" i="13"/>
  <c r="K48" i="13"/>
  <c r="L48" i="13"/>
  <c r="M48" i="13"/>
  <c r="N48" i="13"/>
  <c r="O48" i="13"/>
  <c r="P48" i="13"/>
  <c r="Q48" i="13"/>
  <c r="R48" i="13"/>
  <c r="G34" i="13"/>
  <c r="G17" i="13"/>
  <c r="R14" i="13"/>
  <c r="H14" i="13"/>
  <c r="I14" i="13"/>
  <c r="J14" i="13"/>
  <c r="K14" i="13"/>
  <c r="L14" i="13"/>
  <c r="M14" i="13"/>
  <c r="N14" i="13"/>
  <c r="O14" i="13"/>
  <c r="P14" i="13"/>
  <c r="Q14" i="13"/>
  <c r="G14" i="13"/>
  <c r="L15" i="13"/>
  <c r="H15" i="13"/>
  <c r="G15" i="13"/>
  <c r="R9" i="13"/>
  <c r="R15" i="13"/>
  <c r="I15" i="13"/>
  <c r="J15" i="13"/>
  <c r="K15" i="13"/>
  <c r="M15" i="13"/>
  <c r="N15" i="13"/>
  <c r="O15" i="13"/>
  <c r="P15" i="13"/>
  <c r="Q15" i="13"/>
  <c r="I503" i="13" l="1"/>
  <c r="M503" i="13"/>
  <c r="Q503" i="13"/>
  <c r="G503" i="13"/>
  <c r="K503" i="13"/>
  <c r="O503" i="13"/>
  <c r="J503" i="13"/>
  <c r="N503" i="13"/>
  <c r="R503" i="13"/>
  <c r="H503" i="13"/>
  <c r="L503" i="13"/>
  <c r="P503" i="13"/>
  <c r="L286" i="13"/>
  <c r="L157" i="13" l="1"/>
  <c r="L107" i="13"/>
  <c r="L89" i="13"/>
  <c r="L38" i="13"/>
  <c r="L21" i="13"/>
  <c r="L20" i="13" l="1"/>
  <c r="G432" i="13" l="1"/>
  <c r="R223" i="13"/>
  <c r="R203" i="13"/>
  <c r="R187" i="13"/>
  <c r="R13" i="13"/>
  <c r="R12" i="13"/>
  <c r="R17" i="13" l="1"/>
  <c r="R18" i="13" s="1"/>
  <c r="G18" i="13" l="1"/>
  <c r="G19" i="13"/>
  <c r="L490" i="13"/>
  <c r="L352" i="13"/>
  <c r="L263" i="13" l="1"/>
  <c r="L70" i="13"/>
  <c r="L173" i="13" l="1"/>
  <c r="L423" i="13"/>
  <c r="L438" i="13" l="1"/>
  <c r="L212" i="13"/>
  <c r="L468" i="13"/>
  <c r="L453" i="13" l="1"/>
  <c r="L334" i="13"/>
  <c r="U487" i="13" l="1"/>
  <c r="U465" i="13"/>
  <c r="U450" i="13"/>
  <c r="U435" i="13" l="1"/>
  <c r="U420" i="13"/>
  <c r="U404" i="13"/>
  <c r="U388" i="13"/>
  <c r="U367" i="13"/>
  <c r="U349" i="13"/>
  <c r="U331" i="13"/>
  <c r="U316" i="13"/>
  <c r="U300" i="13"/>
  <c r="U283" i="13"/>
  <c r="U260" i="13"/>
  <c r="U244" i="13"/>
  <c r="U229" i="13"/>
  <c r="U209" i="13"/>
  <c r="U193" i="13"/>
  <c r="U170" i="13"/>
  <c r="U153" i="13"/>
  <c r="U135" i="13"/>
  <c r="U119" i="13"/>
  <c r="U103" i="13"/>
  <c r="U85" i="13"/>
  <c r="U67" i="13"/>
  <c r="U51" i="13"/>
  <c r="U34" i="13"/>
  <c r="T487" i="13"/>
  <c r="T465" i="13"/>
  <c r="T450" i="13"/>
  <c r="T435" i="13"/>
  <c r="T420" i="13"/>
  <c r="T404" i="13"/>
  <c r="T388" i="13"/>
  <c r="T367" i="13"/>
  <c r="T349" i="13"/>
  <c r="T331" i="13"/>
  <c r="T316" i="13"/>
  <c r="T300" i="13"/>
  <c r="T283" i="13"/>
  <c r="T260" i="13"/>
  <c r="T244" i="13"/>
  <c r="T229" i="13"/>
  <c r="T209" i="13"/>
  <c r="T193" i="13"/>
  <c r="T195" i="13" s="1"/>
  <c r="T170" i="13"/>
  <c r="T153" i="13"/>
  <c r="T135" i="13"/>
  <c r="T137" i="13" s="1"/>
  <c r="T119" i="13"/>
  <c r="T103" i="13"/>
  <c r="T85" i="13"/>
  <c r="T67" i="13"/>
  <c r="T51" i="13"/>
  <c r="T34" i="13" l="1"/>
  <c r="U17" i="13"/>
  <c r="T17" i="13"/>
  <c r="L319" i="13" l="1"/>
  <c r="R222" i="13" l="1"/>
  <c r="R202" i="13"/>
  <c r="R186" i="13"/>
  <c r="L88" i="13" l="1"/>
  <c r="L407" i="13" l="1"/>
  <c r="L391" i="13"/>
  <c r="L370" i="13"/>
  <c r="L303" i="13"/>
  <c r="L232" i="13"/>
  <c r="L156" i="13"/>
  <c r="L122" i="13"/>
  <c r="L106" i="13"/>
  <c r="L54" i="13"/>
  <c r="L37" i="13"/>
  <c r="L196" i="13" l="1"/>
  <c r="L507" i="13" s="1"/>
  <c r="F29" i="13"/>
  <c r="R30" i="13" l="1"/>
  <c r="L30" i="13"/>
  <c r="G30" i="13"/>
  <c r="H30" i="13"/>
  <c r="V504" i="13"/>
  <c r="V505" i="13"/>
  <c r="T505" i="13"/>
  <c r="U467" i="13"/>
  <c r="T467" i="13"/>
  <c r="T452" i="13"/>
  <c r="U437" i="13"/>
  <c r="T437" i="13"/>
  <c r="U422" i="13"/>
  <c r="U505" i="13"/>
  <c r="T406" i="13"/>
  <c r="U390" i="13"/>
  <c r="T390" i="13"/>
  <c r="U369" i="13"/>
  <c r="T369" i="13"/>
  <c r="U351" i="13"/>
  <c r="T351" i="13"/>
  <c r="U333" i="13"/>
  <c r="U318" i="13"/>
  <c r="T318" i="13"/>
  <c r="T302" i="13"/>
  <c r="U285" i="13"/>
  <c r="T285" i="13"/>
  <c r="U262" i="13"/>
  <c r="T262" i="13"/>
  <c r="U246" i="13"/>
  <c r="T246" i="13"/>
  <c r="U231" i="13"/>
  <c r="T231" i="13"/>
  <c r="U211" i="13"/>
  <c r="T211" i="13"/>
  <c r="U195" i="13"/>
  <c r="U172" i="13"/>
  <c r="T172" i="13"/>
  <c r="U155" i="13"/>
  <c r="T155" i="13"/>
  <c r="U137" i="13"/>
  <c r="U121" i="13"/>
  <c r="T121" i="13"/>
  <c r="U105" i="13"/>
  <c r="T105" i="13"/>
  <c r="T69" i="13"/>
  <c r="U53" i="13"/>
  <c r="U489" i="13"/>
  <c r="T489" i="13"/>
  <c r="U452" i="13"/>
  <c r="T422" i="13"/>
  <c r="T333" i="13"/>
  <c r="U302" i="13"/>
  <c r="U87" i="13"/>
  <c r="T87" i="13"/>
  <c r="U69" i="13"/>
  <c r="T53" i="13"/>
  <c r="H34" i="13" l="1"/>
  <c r="V489" i="13"/>
  <c r="V467" i="13"/>
  <c r="V452" i="13"/>
  <c r="V437" i="13"/>
  <c r="V422" i="13"/>
  <c r="U406" i="13"/>
  <c r="V406" i="13" s="1"/>
  <c r="V390" i="13"/>
  <c r="V369" i="13"/>
  <c r="V351" i="13"/>
  <c r="V333" i="13"/>
  <c r="V318" i="13"/>
  <c r="V302" i="13"/>
  <c r="V285" i="13"/>
  <c r="V262" i="13"/>
  <c r="V246" i="13"/>
  <c r="V231" i="13"/>
  <c r="V211" i="13"/>
  <c r="V195" i="13"/>
  <c r="V172" i="13"/>
  <c r="V155" i="13"/>
  <c r="V137" i="13"/>
  <c r="V121" i="13"/>
  <c r="V105" i="13"/>
  <c r="V87" i="13"/>
  <c r="V69" i="13"/>
  <c r="V53" i="13"/>
  <c r="U36" i="13"/>
  <c r="T36" i="13"/>
  <c r="U504" i="13"/>
  <c r="T19" i="13"/>
  <c r="T506" i="13" l="1"/>
  <c r="T504" i="13"/>
  <c r="U19" i="13"/>
  <c r="U506" i="13" s="1"/>
  <c r="V36" i="13"/>
  <c r="V19" i="13" l="1"/>
  <c r="V506" i="13" s="1"/>
  <c r="H507" i="13" l="1"/>
  <c r="I507" i="13"/>
  <c r="J507" i="13"/>
  <c r="K507" i="13"/>
  <c r="M507" i="13"/>
  <c r="N507" i="13"/>
  <c r="O507" i="13"/>
  <c r="P507" i="13"/>
  <c r="Q507" i="13"/>
  <c r="R507" i="13"/>
  <c r="H508" i="13"/>
  <c r="I508" i="13"/>
  <c r="J508" i="13"/>
  <c r="K508" i="13"/>
  <c r="M508" i="13"/>
  <c r="N508" i="13"/>
  <c r="O508" i="13"/>
  <c r="P508" i="13"/>
  <c r="Q508" i="13"/>
  <c r="R508" i="13"/>
  <c r="G507" i="13"/>
  <c r="G508" i="13"/>
  <c r="E499" i="13"/>
  <c r="D499" i="13"/>
  <c r="F482" i="13"/>
  <c r="F460" i="13"/>
  <c r="F445" i="13"/>
  <c r="F430" i="13"/>
  <c r="F415" i="13"/>
  <c r="F399" i="13"/>
  <c r="F383" i="13"/>
  <c r="F362" i="13"/>
  <c r="F344" i="13"/>
  <c r="F326" i="13"/>
  <c r="F311" i="13"/>
  <c r="F295" i="13"/>
  <c r="F278" i="13"/>
  <c r="F204" i="13"/>
  <c r="F255" i="13"/>
  <c r="F239" i="13"/>
  <c r="F224" i="13"/>
  <c r="F188" i="13"/>
  <c r="F165" i="13"/>
  <c r="F148" i="13"/>
  <c r="F130" i="13"/>
  <c r="F114" i="13"/>
  <c r="F98" i="13"/>
  <c r="F80" i="13"/>
  <c r="F62" i="13"/>
  <c r="F46" i="13"/>
  <c r="F11" i="13"/>
  <c r="G257" i="13" l="1"/>
  <c r="G13" i="13"/>
  <c r="L13" i="13"/>
  <c r="L12" i="13"/>
  <c r="G296" i="13"/>
  <c r="G297" i="13"/>
  <c r="G364" i="13"/>
  <c r="G313" i="13"/>
  <c r="G385" i="13"/>
  <c r="G447" i="13"/>
  <c r="G12" i="13"/>
  <c r="H13" i="13"/>
  <c r="P13" i="13"/>
  <c r="I13" i="13"/>
  <c r="M13" i="13"/>
  <c r="Q13" i="13"/>
  <c r="J13" i="13"/>
  <c r="N13" i="13"/>
  <c r="K13" i="13"/>
  <c r="O13" i="13"/>
  <c r="G205" i="13"/>
  <c r="G189" i="13"/>
  <c r="G328" i="13"/>
  <c r="G462" i="13"/>
  <c r="G225" i="13"/>
  <c r="G280" i="13"/>
  <c r="G346" i="13"/>
  <c r="G484" i="13"/>
  <c r="I241" i="13"/>
  <c r="M241" i="13"/>
  <c r="Q241" i="13"/>
  <c r="J241" i="13"/>
  <c r="N241" i="13"/>
  <c r="R241" i="13"/>
  <c r="K241" i="13"/>
  <c r="O241" i="13"/>
  <c r="G241" i="13"/>
  <c r="H241" i="13"/>
  <c r="L241" i="13"/>
  <c r="P241" i="13"/>
  <c r="G167" i="13"/>
  <c r="G116" i="13"/>
  <c r="G150" i="13"/>
  <c r="G132" i="13"/>
  <c r="G82" i="13"/>
  <c r="G100" i="13"/>
  <c r="I416" i="13"/>
  <c r="H131" i="13"/>
  <c r="L131" i="13"/>
  <c r="G131" i="13"/>
  <c r="I131" i="13"/>
  <c r="K131" i="13"/>
  <c r="J131" i="13"/>
  <c r="J115" i="13"/>
  <c r="I115" i="13"/>
  <c r="H115" i="13"/>
  <c r="G115" i="13"/>
  <c r="K115" i="13"/>
  <c r="L115" i="13"/>
  <c r="H99" i="13"/>
  <c r="L99" i="13"/>
  <c r="K99" i="13"/>
  <c r="J99" i="13"/>
  <c r="I99" i="13"/>
  <c r="G99" i="13"/>
  <c r="I81" i="13"/>
  <c r="H81" i="13"/>
  <c r="G81" i="13"/>
  <c r="J81" i="13"/>
  <c r="L81" i="13"/>
  <c r="K81" i="13"/>
  <c r="M30" i="13"/>
  <c r="H296" i="13"/>
  <c r="P431" i="13"/>
  <c r="L296" i="13"/>
  <c r="K345" i="13"/>
  <c r="O345" i="13"/>
  <c r="G345" i="13"/>
  <c r="N431" i="13"/>
  <c r="P296" i="13"/>
  <c r="O240" i="13"/>
  <c r="K240" i="13"/>
  <c r="H256" i="13"/>
  <c r="N312" i="13"/>
  <c r="G327" i="13"/>
  <c r="P400" i="13"/>
  <c r="J416" i="13"/>
  <c r="L431" i="13"/>
  <c r="L483" i="13"/>
  <c r="R240" i="13"/>
  <c r="Q240" i="13"/>
  <c r="L240" i="13"/>
  <c r="L256" i="13"/>
  <c r="H327" i="13"/>
  <c r="M363" i="13"/>
  <c r="H400" i="13"/>
  <c r="G240" i="13"/>
  <c r="M240" i="13"/>
  <c r="I240" i="13"/>
  <c r="P256" i="13"/>
  <c r="J279" i="13"/>
  <c r="P327" i="13"/>
  <c r="R363" i="13"/>
  <c r="K400" i="13"/>
  <c r="M461" i="13"/>
  <c r="N240" i="13"/>
  <c r="J240" i="13"/>
  <c r="R279" i="13"/>
  <c r="G400" i="13"/>
  <c r="L400" i="13"/>
  <c r="J431" i="13"/>
  <c r="N461" i="13"/>
  <c r="K483" i="13"/>
  <c r="N225" i="13"/>
  <c r="N256" i="13"/>
  <c r="G279" i="13"/>
  <c r="P279" i="13"/>
  <c r="H279" i="13"/>
  <c r="N296" i="13"/>
  <c r="L312" i="13"/>
  <c r="Q345" i="13"/>
  <c r="I345" i="13"/>
  <c r="O363" i="13"/>
  <c r="R416" i="13"/>
  <c r="M225" i="13"/>
  <c r="M256" i="13"/>
  <c r="O279" i="13"/>
  <c r="M296" i="13"/>
  <c r="K312" i="13"/>
  <c r="P345" i="13"/>
  <c r="H345" i="13"/>
  <c r="N363" i="13"/>
  <c r="R384" i="13"/>
  <c r="Q416" i="13"/>
  <c r="R312" i="13"/>
  <c r="J312" i="13"/>
  <c r="N384" i="13"/>
  <c r="L225" i="13"/>
  <c r="J149" i="13"/>
  <c r="K225" i="13"/>
  <c r="G256" i="13"/>
  <c r="K256" i="13"/>
  <c r="M279" i="13"/>
  <c r="K296" i="13"/>
  <c r="Q312" i="13"/>
  <c r="I312" i="13"/>
  <c r="O327" i="13"/>
  <c r="N345" i="13"/>
  <c r="L363" i="13"/>
  <c r="M384" i="13"/>
  <c r="R225" i="13"/>
  <c r="J225" i="13"/>
  <c r="R256" i="13"/>
  <c r="J256" i="13"/>
  <c r="L279" i="13"/>
  <c r="R296" i="13"/>
  <c r="J296" i="13"/>
  <c r="G312" i="13"/>
  <c r="P312" i="13"/>
  <c r="H312" i="13"/>
  <c r="L327" i="13"/>
  <c r="M345" i="13"/>
  <c r="H363" i="13"/>
  <c r="P363" i="13"/>
  <c r="G363" i="13"/>
  <c r="I363" i="13"/>
  <c r="K363" i="13"/>
  <c r="L384" i="13"/>
  <c r="K416" i="13"/>
  <c r="L416" i="13"/>
  <c r="M416" i="13"/>
  <c r="N416" i="13"/>
  <c r="O416" i="13"/>
  <c r="H416" i="13"/>
  <c r="P416" i="13"/>
  <c r="G416" i="13"/>
  <c r="R431" i="13"/>
  <c r="N279" i="13"/>
  <c r="P30" i="13"/>
  <c r="Q225" i="13"/>
  <c r="I225" i="13"/>
  <c r="Q256" i="13"/>
  <c r="I256" i="13"/>
  <c r="K279" i="13"/>
  <c r="Q296" i="13"/>
  <c r="I296" i="13"/>
  <c r="O312" i="13"/>
  <c r="K327" i="13"/>
  <c r="L345" i="13"/>
  <c r="J363" i="13"/>
  <c r="K384" i="13"/>
  <c r="P225" i="13"/>
  <c r="O384" i="13"/>
  <c r="G384" i="13"/>
  <c r="H384" i="13"/>
  <c r="P384" i="13"/>
  <c r="I384" i="13"/>
  <c r="Q384" i="13"/>
  <c r="J384" i="13"/>
  <c r="H225" i="13"/>
  <c r="O225" i="13"/>
  <c r="G166" i="13"/>
  <c r="P240" i="13"/>
  <c r="H240" i="13"/>
  <c r="O256" i="13"/>
  <c r="Q279" i="13"/>
  <c r="I279" i="13"/>
  <c r="O296" i="13"/>
  <c r="M312" i="13"/>
  <c r="R345" i="13"/>
  <c r="J345" i="13"/>
  <c r="Q363" i="13"/>
  <c r="R400" i="13"/>
  <c r="J400" i="13"/>
  <c r="L461" i="13"/>
  <c r="R483" i="13"/>
  <c r="J483" i="13"/>
  <c r="Q400" i="13"/>
  <c r="I400" i="13"/>
  <c r="K461" i="13"/>
  <c r="Q483" i="13"/>
  <c r="I483" i="13"/>
  <c r="R461" i="13"/>
  <c r="J461" i="13"/>
  <c r="G483" i="13"/>
  <c r="P483" i="13"/>
  <c r="H483" i="13"/>
  <c r="O400" i="13"/>
  <c r="H431" i="13"/>
  <c r="Q461" i="13"/>
  <c r="I461" i="13"/>
  <c r="O483" i="13"/>
  <c r="N400" i="13"/>
  <c r="G461" i="13"/>
  <c r="P461" i="13"/>
  <c r="H461" i="13"/>
  <c r="N483" i="13"/>
  <c r="M400" i="13"/>
  <c r="O461" i="13"/>
  <c r="M483" i="13"/>
  <c r="G431" i="13"/>
  <c r="O431" i="13"/>
  <c r="K431" i="13"/>
  <c r="Q431" i="13"/>
  <c r="M431" i="13"/>
  <c r="I431" i="13"/>
  <c r="P446" i="13"/>
  <c r="L446" i="13"/>
  <c r="H446" i="13"/>
  <c r="Q446" i="13"/>
  <c r="M446" i="13"/>
  <c r="I446" i="13"/>
  <c r="R446" i="13"/>
  <c r="N446" i="13"/>
  <c r="J446" i="13"/>
  <c r="G446" i="13"/>
  <c r="O446" i="13"/>
  <c r="K446" i="13"/>
  <c r="Q327" i="13"/>
  <c r="M327" i="13"/>
  <c r="I327" i="13"/>
  <c r="R327" i="13"/>
  <c r="N327" i="13"/>
  <c r="J327" i="13"/>
  <c r="O205" i="13"/>
  <c r="J205" i="13"/>
  <c r="P205" i="13"/>
  <c r="L205" i="13"/>
  <c r="F499" i="13"/>
  <c r="K205" i="13"/>
  <c r="Q205" i="13"/>
  <c r="M205" i="13"/>
  <c r="H205" i="13"/>
  <c r="R205" i="13"/>
  <c r="N205" i="13"/>
  <c r="I205" i="13"/>
  <c r="K189" i="13"/>
  <c r="P189" i="13"/>
  <c r="J189" i="13"/>
  <c r="J193" i="13" s="1"/>
  <c r="J47" i="13"/>
  <c r="O81" i="13"/>
  <c r="K166" i="13"/>
  <c r="P12" i="13"/>
  <c r="P81" i="13"/>
  <c r="P166" i="13"/>
  <c r="M81" i="13"/>
  <c r="Q81" i="13"/>
  <c r="K12" i="13"/>
  <c r="N81" i="13"/>
  <c r="P99" i="13"/>
  <c r="P115" i="13"/>
  <c r="K149" i="13"/>
  <c r="J166" i="13"/>
  <c r="P131" i="13"/>
  <c r="P149" i="13"/>
  <c r="K30" i="13"/>
  <c r="P63" i="13"/>
  <c r="J12" i="13"/>
  <c r="K47" i="13"/>
  <c r="P47" i="13"/>
  <c r="J63" i="13"/>
  <c r="J30" i="13"/>
  <c r="K63" i="13"/>
  <c r="R81" i="13"/>
  <c r="M189" i="13"/>
  <c r="R189" i="13"/>
  <c r="N189" i="13"/>
  <c r="H189" i="13"/>
  <c r="O189" i="13"/>
  <c r="I189" i="13"/>
  <c r="Q189" i="13"/>
  <c r="L189" i="13"/>
  <c r="O12" i="13"/>
  <c r="I12" i="13"/>
  <c r="N30" i="13"/>
  <c r="Q47" i="13"/>
  <c r="L47" i="13"/>
  <c r="N63" i="13"/>
  <c r="H63" i="13"/>
  <c r="R63" i="13"/>
  <c r="O99" i="13"/>
  <c r="R115" i="13"/>
  <c r="M115" i="13"/>
  <c r="N131" i="13"/>
  <c r="O149" i="13"/>
  <c r="I149" i="13"/>
  <c r="R166" i="13"/>
  <c r="M166" i="13"/>
  <c r="Q12" i="13"/>
  <c r="O30" i="13"/>
  <c r="I30" i="13"/>
  <c r="G47" i="13"/>
  <c r="M47" i="13"/>
  <c r="R47" i="13"/>
  <c r="O63" i="13"/>
  <c r="I63" i="13"/>
  <c r="Q99" i="13"/>
  <c r="N115" i="13"/>
  <c r="O131" i="13"/>
  <c r="Q149" i="13"/>
  <c r="L149" i="13"/>
  <c r="N166" i="13"/>
  <c r="H166" i="13"/>
  <c r="M12" i="13"/>
  <c r="Q30" i="13"/>
  <c r="L34" i="13"/>
  <c r="N47" i="13"/>
  <c r="H47" i="13"/>
  <c r="Q63" i="13"/>
  <c r="L63" i="13"/>
  <c r="R99" i="13"/>
  <c r="M99" i="13"/>
  <c r="O115" i="13"/>
  <c r="Q131" i="13"/>
  <c r="R149" i="13"/>
  <c r="M149" i="13"/>
  <c r="O166" i="13"/>
  <c r="I166" i="13"/>
  <c r="N12" i="13"/>
  <c r="H12" i="13"/>
  <c r="R34" i="13"/>
  <c r="R35" i="13" s="1"/>
  <c r="O47" i="13"/>
  <c r="I47" i="13"/>
  <c r="G63" i="13"/>
  <c r="M63" i="13"/>
  <c r="N99" i="13"/>
  <c r="Q115" i="13"/>
  <c r="R131" i="13"/>
  <c r="M131" i="13"/>
  <c r="G149" i="13"/>
  <c r="N149" i="13"/>
  <c r="H149" i="13"/>
  <c r="Q166" i="13"/>
  <c r="L166" i="13"/>
  <c r="M435" i="13" l="1"/>
  <c r="G435" i="13"/>
  <c r="H435" i="13"/>
  <c r="R435" i="13"/>
  <c r="Q435" i="13"/>
  <c r="R487" i="13"/>
  <c r="L435" i="13"/>
  <c r="R229" i="13"/>
  <c r="K404" i="13"/>
  <c r="J331" i="13"/>
  <c r="K367" i="13"/>
  <c r="L367" i="13"/>
  <c r="R300" i="13"/>
  <c r="R301" i="13" s="1"/>
  <c r="S301" i="13" s="1"/>
  <c r="L300" i="13"/>
  <c r="K435" i="13"/>
  <c r="N435" i="13"/>
  <c r="K420" i="13"/>
  <c r="K283" i="13"/>
  <c r="I229" i="13"/>
  <c r="J465" i="13"/>
  <c r="K331" i="13"/>
  <c r="J450" i="13"/>
  <c r="J388" i="13"/>
  <c r="J316" i="13"/>
  <c r="R367" i="13"/>
  <c r="R368" i="13" s="1"/>
  <c r="I435" i="13"/>
  <c r="L229" i="13"/>
  <c r="L349" i="13"/>
  <c r="K349" i="13"/>
  <c r="R283" i="13"/>
  <c r="L283" i="13"/>
  <c r="O229" i="13"/>
  <c r="J229" i="13"/>
  <c r="P229" i="13"/>
  <c r="L465" i="13"/>
  <c r="K465" i="13"/>
  <c r="S332" i="13"/>
  <c r="L450" i="13"/>
  <c r="K450" i="13"/>
  <c r="L388" i="13"/>
  <c r="K388" i="13"/>
  <c r="L316" i="13"/>
  <c r="K316" i="13"/>
  <c r="J300" i="13"/>
  <c r="I209" i="13"/>
  <c r="L209" i="13"/>
  <c r="N209" i="13"/>
  <c r="O209" i="13"/>
  <c r="Q209" i="13"/>
  <c r="P209" i="13"/>
  <c r="K209" i="13"/>
  <c r="R193" i="13"/>
  <c r="L193" i="13"/>
  <c r="I17" i="13"/>
  <c r="M487" i="13"/>
  <c r="G489" i="13"/>
  <c r="H487" i="13"/>
  <c r="I487" i="13"/>
  <c r="O487" i="13"/>
  <c r="O489" i="13" s="1"/>
  <c r="H465" i="13"/>
  <c r="N465" i="13"/>
  <c r="P465" i="13"/>
  <c r="O465" i="13"/>
  <c r="Q465" i="13"/>
  <c r="I450" i="13"/>
  <c r="P450" i="13"/>
  <c r="O450" i="13"/>
  <c r="N450" i="13"/>
  <c r="Q450" i="13"/>
  <c r="G450" i="13"/>
  <c r="H450" i="13"/>
  <c r="I420" i="13"/>
  <c r="P420" i="13"/>
  <c r="G420" i="13"/>
  <c r="N420" i="13"/>
  <c r="M420" i="13"/>
  <c r="H420" i="13"/>
  <c r="J404" i="13"/>
  <c r="Q404" i="13"/>
  <c r="O404" i="13"/>
  <c r="M404" i="13"/>
  <c r="H404" i="13"/>
  <c r="P404" i="13"/>
  <c r="G404" i="13"/>
  <c r="N404" i="13"/>
  <c r="I404" i="13"/>
  <c r="P388" i="13"/>
  <c r="O388" i="13"/>
  <c r="G388" i="13"/>
  <c r="Q388" i="13"/>
  <c r="I388" i="13"/>
  <c r="M388" i="13"/>
  <c r="H388" i="13"/>
  <c r="Q367" i="13"/>
  <c r="M367" i="13"/>
  <c r="H367" i="13"/>
  <c r="G367" i="13"/>
  <c r="N367" i="13"/>
  <c r="I367" i="13"/>
  <c r="O367" i="13"/>
  <c r="P367" i="13"/>
  <c r="R349" i="13"/>
  <c r="R350" i="13" s="1"/>
  <c r="I349" i="13"/>
  <c r="G349" i="13"/>
  <c r="H349" i="13"/>
  <c r="P349" i="13"/>
  <c r="O349" i="13"/>
  <c r="M349" i="13"/>
  <c r="Q349" i="13"/>
  <c r="I331" i="13"/>
  <c r="P331" i="13"/>
  <c r="N331" i="13"/>
  <c r="Q331" i="13"/>
  <c r="G331" i="13"/>
  <c r="M331" i="13"/>
  <c r="H331" i="13"/>
  <c r="G316" i="13"/>
  <c r="P316" i="13"/>
  <c r="O316" i="13"/>
  <c r="I316" i="13"/>
  <c r="Q316" i="13"/>
  <c r="N316" i="13"/>
  <c r="H316" i="13"/>
  <c r="M300" i="13"/>
  <c r="G153" i="13"/>
  <c r="O51" i="13"/>
  <c r="N300" i="13"/>
  <c r="I300" i="13"/>
  <c r="H300" i="13"/>
  <c r="O300" i="13"/>
  <c r="G300" i="13"/>
  <c r="Q300" i="13"/>
  <c r="P300" i="13"/>
  <c r="N283" i="13"/>
  <c r="I283" i="13"/>
  <c r="O283" i="13"/>
  <c r="M283" i="13"/>
  <c r="G283" i="13"/>
  <c r="P283" i="13"/>
  <c r="H283" i="13"/>
  <c r="Q283" i="13"/>
  <c r="O17" i="13"/>
  <c r="R209" i="13"/>
  <c r="Q260" i="13"/>
  <c r="M260" i="13"/>
  <c r="R260" i="13"/>
  <c r="O244" i="13"/>
  <c r="L135" i="13"/>
  <c r="L260" i="13"/>
  <c r="Q229" i="13"/>
  <c r="K229" i="13"/>
  <c r="K244" i="13"/>
  <c r="N193" i="13"/>
  <c r="L244" i="13"/>
  <c r="Q244" i="13"/>
  <c r="Q67" i="13"/>
  <c r="N85" i="13"/>
  <c r="O85" i="13"/>
  <c r="G170" i="13"/>
  <c r="I85" i="13"/>
  <c r="H153" i="13"/>
  <c r="Q51" i="13"/>
  <c r="J51" i="13"/>
  <c r="M67" i="13"/>
  <c r="M51" i="13"/>
  <c r="O153" i="13"/>
  <c r="L51" i="13"/>
  <c r="O193" i="13"/>
  <c r="K193" i="13"/>
  <c r="M209" i="13"/>
  <c r="L170" i="13"/>
  <c r="J67" i="13"/>
  <c r="L85" i="13"/>
  <c r="P51" i="13"/>
  <c r="K153" i="13"/>
  <c r="J85" i="13"/>
  <c r="Q153" i="13"/>
  <c r="N153" i="13"/>
  <c r="R153" i="13"/>
  <c r="R170" i="13"/>
  <c r="R171" i="13" s="1"/>
  <c r="M119" i="13"/>
  <c r="P153" i="13"/>
  <c r="N119" i="13"/>
  <c r="I153" i="13"/>
  <c r="J153" i="13"/>
  <c r="L119" i="13"/>
  <c r="R135" i="13"/>
  <c r="R136" i="13" s="1"/>
  <c r="R67" i="13"/>
  <c r="R85" i="13"/>
  <c r="G119" i="13"/>
  <c r="R119" i="13"/>
  <c r="R120" i="13" s="1"/>
  <c r="P85" i="13"/>
  <c r="N51" i="13"/>
  <c r="K67" i="13"/>
  <c r="Q85" i="13"/>
  <c r="G85" i="13"/>
  <c r="R51" i="13"/>
  <c r="R52" i="13" s="1"/>
  <c r="N67" i="13"/>
  <c r="M85" i="13"/>
  <c r="H85" i="13"/>
  <c r="I67" i="13"/>
  <c r="H51" i="13"/>
  <c r="O67" i="13"/>
  <c r="M17" i="13"/>
  <c r="L67" i="13"/>
  <c r="I51" i="13"/>
  <c r="K51" i="13"/>
  <c r="K34" i="13"/>
  <c r="K36" i="13" s="1"/>
  <c r="L17" i="13"/>
  <c r="N17" i="13"/>
  <c r="I34" i="13"/>
  <c r="I36" i="13" s="1"/>
  <c r="N34" i="13"/>
  <c r="N36" i="13" s="1"/>
  <c r="P17" i="13"/>
  <c r="M34" i="13"/>
  <c r="M36" i="13" s="1"/>
  <c r="Q34" i="13"/>
  <c r="Q36" i="13" s="1"/>
  <c r="O34" i="13"/>
  <c r="O36" i="13" s="1"/>
  <c r="J34" i="13"/>
  <c r="J36" i="13" s="1"/>
  <c r="P34" i="13"/>
  <c r="P36" i="13" s="1"/>
  <c r="Q119" i="13"/>
  <c r="Q193" i="13"/>
  <c r="H209" i="13"/>
  <c r="N487" i="13"/>
  <c r="O420" i="13"/>
  <c r="M229" i="13"/>
  <c r="M465" i="13"/>
  <c r="J283" i="13"/>
  <c r="I193" i="13"/>
  <c r="J17" i="13"/>
  <c r="P193" i="13"/>
  <c r="H229" i="13"/>
  <c r="N349" i="13"/>
  <c r="K300" i="13"/>
  <c r="R465" i="13"/>
  <c r="J420" i="13"/>
  <c r="P135" i="13"/>
  <c r="K170" i="13"/>
  <c r="H244" i="13"/>
  <c r="P260" i="13"/>
  <c r="O260" i="13"/>
  <c r="Q170" i="13"/>
  <c r="M135" i="13"/>
  <c r="N260" i="13"/>
  <c r="I103" i="13"/>
  <c r="M450" i="13"/>
  <c r="J349" i="13"/>
  <c r="G229" i="13"/>
  <c r="H17" i="13"/>
  <c r="H18" i="13" s="1"/>
  <c r="Q17" i="13"/>
  <c r="M193" i="13"/>
  <c r="O435" i="13"/>
  <c r="G465" i="13"/>
  <c r="P487" i="13"/>
  <c r="J367" i="13"/>
  <c r="L420" i="13"/>
  <c r="J260" i="13"/>
  <c r="K260" i="13"/>
  <c r="Q420" i="13"/>
  <c r="N229" i="13"/>
  <c r="L404" i="13"/>
  <c r="R244" i="13"/>
  <c r="R245" i="13" s="1"/>
  <c r="G245" i="13" s="1"/>
  <c r="P435" i="13"/>
  <c r="G193" i="13"/>
  <c r="J209" i="13"/>
  <c r="I465" i="13"/>
  <c r="O331" i="13"/>
  <c r="R316" i="13"/>
  <c r="J435" i="13"/>
  <c r="H193" i="13"/>
  <c r="K17" i="13"/>
  <c r="Q487" i="13"/>
  <c r="J487" i="13"/>
  <c r="R404" i="13"/>
  <c r="M316" i="13"/>
  <c r="L331" i="13"/>
  <c r="N388" i="13"/>
  <c r="R388" i="13"/>
  <c r="K487" i="13"/>
  <c r="L487" i="13"/>
  <c r="G209" i="13"/>
  <c r="P67" i="13"/>
  <c r="K103" i="13"/>
  <c r="M153" i="13"/>
  <c r="G67" i="13"/>
  <c r="M103" i="13"/>
  <c r="L103" i="13"/>
  <c r="N103" i="13"/>
  <c r="L153" i="13"/>
  <c r="H170" i="13"/>
  <c r="M170" i="13"/>
  <c r="I135" i="13"/>
  <c r="R103" i="13"/>
  <c r="N135" i="13"/>
  <c r="G244" i="13"/>
  <c r="G500" i="13"/>
  <c r="I170" i="13"/>
  <c r="N170" i="13"/>
  <c r="H67" i="13"/>
  <c r="J103" i="13"/>
  <c r="I119" i="13"/>
  <c r="G135" i="13"/>
  <c r="M244" i="13"/>
  <c r="G260" i="13"/>
  <c r="P103" i="13"/>
  <c r="K119" i="13"/>
  <c r="J119" i="13"/>
  <c r="I244" i="13"/>
  <c r="G103" i="13"/>
  <c r="J135" i="13"/>
  <c r="O135" i="13"/>
  <c r="N244" i="13"/>
  <c r="H260" i="13"/>
  <c r="H135" i="13"/>
  <c r="J170" i="13"/>
  <c r="P170" i="13"/>
  <c r="P244" i="13"/>
  <c r="I260" i="13"/>
  <c r="J244" i="13"/>
  <c r="O170" i="13"/>
  <c r="Q135" i="13"/>
  <c r="P119" i="13"/>
  <c r="H119" i="13"/>
  <c r="K135" i="13"/>
  <c r="O119" i="13"/>
  <c r="Q103" i="13"/>
  <c r="H103" i="13"/>
  <c r="O103" i="13"/>
  <c r="K85" i="13"/>
  <c r="L489" i="13"/>
  <c r="H36" i="13"/>
  <c r="R500" i="13"/>
  <c r="L36" i="13"/>
  <c r="M500" i="13"/>
  <c r="L500" i="13"/>
  <c r="O500" i="13"/>
  <c r="N500" i="13"/>
  <c r="K500" i="13"/>
  <c r="I500" i="13"/>
  <c r="J500" i="13"/>
  <c r="H500" i="13"/>
  <c r="Q500" i="13"/>
  <c r="P500" i="13"/>
  <c r="R488" i="13"/>
  <c r="G36" i="13"/>
  <c r="G35" i="13"/>
  <c r="M504" i="13" l="1"/>
  <c r="Q504" i="13"/>
  <c r="H504" i="13"/>
  <c r="K504" i="13"/>
  <c r="J504" i="13"/>
  <c r="O504" i="13"/>
  <c r="L504" i="13"/>
  <c r="P504" i="13"/>
  <c r="N504" i="13"/>
  <c r="I467" i="13"/>
  <c r="I504" i="13"/>
  <c r="R466" i="13"/>
  <c r="Q466" i="13" s="1"/>
  <c r="R504" i="13"/>
  <c r="Q489" i="13"/>
  <c r="N489" i="13"/>
  <c r="I489" i="13"/>
  <c r="G488" i="13"/>
  <c r="M489" i="13"/>
  <c r="H489" i="13"/>
  <c r="G467" i="13"/>
  <c r="L351" i="13"/>
  <c r="L467" i="13"/>
  <c r="G369" i="13"/>
  <c r="M369" i="13"/>
  <c r="L369" i="13"/>
  <c r="I369" i="13"/>
  <c r="O369" i="13"/>
  <c r="N369" i="13"/>
  <c r="H369" i="13"/>
  <c r="Q369" i="13"/>
  <c r="N467" i="13"/>
  <c r="I437" i="13"/>
  <c r="N437" i="13"/>
  <c r="R436" i="13"/>
  <c r="O436" i="13" s="1"/>
  <c r="M437" i="13"/>
  <c r="H437" i="13"/>
  <c r="G437" i="13"/>
  <c r="Q437" i="13"/>
  <c r="L437" i="13"/>
  <c r="O422" i="13"/>
  <c r="Q421" i="13"/>
  <c r="R284" i="13"/>
  <c r="L285" i="13"/>
  <c r="O333" i="13"/>
  <c r="Q422" i="13"/>
  <c r="H422" i="13"/>
  <c r="N285" i="13"/>
  <c r="L333" i="13"/>
  <c r="O437" i="13"/>
  <c r="H285" i="13"/>
  <c r="G285" i="13"/>
  <c r="O285" i="13"/>
  <c r="N333" i="13"/>
  <c r="N422" i="13"/>
  <c r="G422" i="13"/>
  <c r="Q285" i="13"/>
  <c r="M285" i="13"/>
  <c r="M422" i="13"/>
  <c r="L422" i="13"/>
  <c r="I285" i="13"/>
  <c r="I422" i="13"/>
  <c r="P211" i="13"/>
  <c r="N211" i="13"/>
  <c r="R194" i="13"/>
  <c r="G194" i="13" s="1"/>
  <c r="J195" i="13"/>
  <c r="M195" i="13"/>
  <c r="K195" i="13"/>
  <c r="L195" i="13"/>
  <c r="H195" i="13"/>
  <c r="G195" i="13"/>
  <c r="P195" i="13"/>
  <c r="I195" i="13"/>
  <c r="Q195" i="13"/>
  <c r="O195" i="13"/>
  <c r="N195" i="13"/>
  <c r="I351" i="13"/>
  <c r="H351" i="13"/>
  <c r="G351" i="13"/>
  <c r="H467" i="13"/>
  <c r="Q467" i="13"/>
  <c r="O467" i="13"/>
  <c r="M452" i="13"/>
  <c r="G452" i="13"/>
  <c r="N351" i="13"/>
  <c r="Q351" i="13"/>
  <c r="O351" i="13"/>
  <c r="H390" i="13"/>
  <c r="M467" i="13"/>
  <c r="N406" i="13"/>
  <c r="L406" i="13"/>
  <c r="Q406" i="13"/>
  <c r="I333" i="13"/>
  <c r="I332" i="13"/>
  <c r="I390" i="13"/>
  <c r="N262" i="13"/>
  <c r="G406" i="13"/>
  <c r="L390" i="13"/>
  <c r="N390" i="13"/>
  <c r="H332" i="13"/>
  <c r="O390" i="13"/>
  <c r="R389" i="13"/>
  <c r="S389" i="13" s="1"/>
  <c r="M390" i="13"/>
  <c r="Q390" i="13"/>
  <c r="M351" i="13"/>
  <c r="G333" i="13"/>
  <c r="G332" i="13"/>
  <c r="M332" i="13"/>
  <c r="M333" i="13"/>
  <c r="L301" i="13"/>
  <c r="L310" i="13" s="1"/>
  <c r="M301" i="13"/>
  <c r="H318" i="13"/>
  <c r="H301" i="13"/>
  <c r="L302" i="13"/>
  <c r="Q333" i="13"/>
  <c r="Q332" i="13"/>
  <c r="G302" i="13"/>
  <c r="G301" i="13"/>
  <c r="H333" i="13"/>
  <c r="N332" i="13"/>
  <c r="N318" i="13"/>
  <c r="M211" i="13"/>
  <c r="O301" i="13"/>
  <c r="O302" i="13"/>
  <c r="Q302" i="13"/>
  <c r="Q301" i="13"/>
  <c r="G211" i="13"/>
  <c r="R210" i="13"/>
  <c r="G210" i="13" s="1"/>
  <c r="Q211" i="13"/>
  <c r="I211" i="13"/>
  <c r="H211" i="13"/>
  <c r="I301" i="13"/>
  <c r="I302" i="13"/>
  <c r="N301" i="13"/>
  <c r="N302" i="13"/>
  <c r="H302" i="13"/>
  <c r="M302" i="13"/>
  <c r="O231" i="13"/>
  <c r="G231" i="13"/>
  <c r="J211" i="13"/>
  <c r="M262" i="13"/>
  <c r="G246" i="13"/>
  <c r="K211" i="13"/>
  <c r="L211" i="13"/>
  <c r="O211" i="13"/>
  <c r="R261" i="13"/>
  <c r="H261" i="13" s="1"/>
  <c r="H262" i="13"/>
  <c r="I231" i="13"/>
  <c r="G262" i="13"/>
  <c r="L262" i="13"/>
  <c r="M231" i="13"/>
  <c r="Q231" i="13"/>
  <c r="L231" i="13"/>
  <c r="N231" i="13"/>
  <c r="H231" i="13"/>
  <c r="R230" i="13"/>
  <c r="G230" i="13" s="1"/>
  <c r="O87" i="13"/>
  <c r="J87" i="13"/>
  <c r="J155" i="13"/>
  <c r="Q155" i="13"/>
  <c r="P172" i="13"/>
  <c r="N172" i="13"/>
  <c r="M172" i="13"/>
  <c r="J172" i="13"/>
  <c r="G172" i="13"/>
  <c r="I172" i="13"/>
  <c r="H172" i="13"/>
  <c r="L172" i="13"/>
  <c r="K172" i="13"/>
  <c r="O172" i="13"/>
  <c r="Q172" i="13"/>
  <c r="Q137" i="13"/>
  <c r="M155" i="13"/>
  <c r="Q105" i="13"/>
  <c r="L155" i="13"/>
  <c r="H155" i="13"/>
  <c r="I121" i="13"/>
  <c r="M105" i="13"/>
  <c r="M87" i="13"/>
  <c r="O121" i="13"/>
  <c r="H137" i="13"/>
  <c r="O137" i="13"/>
  <c r="L87" i="13"/>
  <c r="R104" i="13"/>
  <c r="I155" i="13"/>
  <c r="O69" i="13"/>
  <c r="O155" i="13"/>
  <c r="G155" i="13"/>
  <c r="P155" i="13"/>
  <c r="R154" i="13"/>
  <c r="S154" i="13" s="1"/>
  <c r="K155" i="13"/>
  <c r="N155" i="13"/>
  <c r="G390" i="13"/>
  <c r="Q246" i="13"/>
  <c r="H246" i="13"/>
  <c r="M246" i="13"/>
  <c r="N246" i="13"/>
  <c r="N245" i="13"/>
  <c r="I246" i="13"/>
  <c r="O246" i="13"/>
  <c r="L452" i="13"/>
  <c r="O406" i="13"/>
  <c r="H452" i="13"/>
  <c r="Q452" i="13"/>
  <c r="L332" i="13"/>
  <c r="L343" i="13" s="1"/>
  <c r="N452" i="13"/>
  <c r="O452" i="13"/>
  <c r="M406" i="13"/>
  <c r="R405" i="13"/>
  <c r="Q405" i="13" s="1"/>
  <c r="I406" i="13"/>
  <c r="H406" i="13"/>
  <c r="I452" i="13"/>
  <c r="G137" i="13"/>
  <c r="N121" i="13"/>
  <c r="N137" i="13"/>
  <c r="G121" i="13"/>
  <c r="L137" i="13"/>
  <c r="I137" i="13"/>
  <c r="I105" i="13"/>
  <c r="O262" i="13"/>
  <c r="L246" i="13"/>
  <c r="P137" i="13"/>
  <c r="M137" i="13"/>
  <c r="M121" i="13"/>
  <c r="L121" i="13"/>
  <c r="J137" i="13"/>
  <c r="J121" i="13"/>
  <c r="M53" i="13"/>
  <c r="Q121" i="13"/>
  <c r="K137" i="13"/>
  <c r="K121" i="13"/>
  <c r="I262" i="13"/>
  <c r="J105" i="13"/>
  <c r="K105" i="13"/>
  <c r="L318" i="13"/>
  <c r="O318" i="13"/>
  <c r="M318" i="13"/>
  <c r="I318" i="13"/>
  <c r="Q318" i="13"/>
  <c r="G318" i="13"/>
  <c r="R317" i="13"/>
  <c r="O332" i="13"/>
  <c r="G105" i="13"/>
  <c r="N105" i="13"/>
  <c r="P105" i="13"/>
  <c r="P69" i="13"/>
  <c r="P87" i="13"/>
  <c r="R68" i="13"/>
  <c r="N68" i="13" s="1"/>
  <c r="R86" i="13"/>
  <c r="Q86" i="13" s="1"/>
  <c r="H87" i="13"/>
  <c r="Q87" i="13"/>
  <c r="I87" i="13"/>
  <c r="L105" i="13"/>
  <c r="P53" i="13"/>
  <c r="K53" i="13"/>
  <c r="K87" i="13"/>
  <c r="I69" i="13"/>
  <c r="H105" i="13"/>
  <c r="Q262" i="13"/>
  <c r="O105" i="13"/>
  <c r="H69" i="13"/>
  <c r="L69" i="13"/>
  <c r="K69" i="13"/>
  <c r="N69" i="13"/>
  <c r="M69" i="13"/>
  <c r="J69" i="13"/>
  <c r="G69" i="13"/>
  <c r="Q69" i="13"/>
  <c r="N53" i="13"/>
  <c r="L53" i="13"/>
  <c r="I53" i="13"/>
  <c r="O53" i="13"/>
  <c r="H53" i="13"/>
  <c r="J53" i="13"/>
  <c r="Q488" i="13"/>
  <c r="N87" i="13"/>
  <c r="P121" i="13"/>
  <c r="G51" i="13"/>
  <c r="G504" i="13" s="1"/>
  <c r="H121" i="13"/>
  <c r="Q53" i="13"/>
  <c r="N488" i="13"/>
  <c r="O488" i="13"/>
  <c r="M488" i="13"/>
  <c r="H488" i="13"/>
  <c r="L488" i="13"/>
  <c r="L498" i="13" s="1"/>
  <c r="I488" i="13"/>
  <c r="S488" i="13"/>
  <c r="Q368" i="13"/>
  <c r="H368" i="13"/>
  <c r="G368" i="13"/>
  <c r="N368" i="13"/>
  <c r="M368" i="13"/>
  <c r="L368" i="13"/>
  <c r="L382" i="13" s="1"/>
  <c r="S368" i="13"/>
  <c r="I368" i="13"/>
  <c r="O368" i="13"/>
  <c r="M436" i="13"/>
  <c r="I436" i="13"/>
  <c r="L436" i="13"/>
  <c r="L444" i="13" s="1"/>
  <c r="H436" i="13"/>
  <c r="N436" i="13"/>
  <c r="G436" i="13"/>
  <c r="Q436" i="13"/>
  <c r="S436" i="13"/>
  <c r="Q350" i="13"/>
  <c r="S350" i="13"/>
  <c r="G350" i="13"/>
  <c r="M350" i="13"/>
  <c r="I350" i="13"/>
  <c r="O350" i="13"/>
  <c r="H350" i="13"/>
  <c r="N350" i="13"/>
  <c r="L350" i="13"/>
  <c r="L361" i="13" s="1"/>
  <c r="H35" i="13"/>
  <c r="I35" i="13"/>
  <c r="J35" i="13"/>
  <c r="Q284" i="13"/>
  <c r="H284" i="13"/>
  <c r="N284" i="13"/>
  <c r="L284" i="13"/>
  <c r="L294" i="13" s="1"/>
  <c r="G284" i="13"/>
  <c r="S284" i="13"/>
  <c r="M284" i="13"/>
  <c r="I284" i="13"/>
  <c r="O284" i="13"/>
  <c r="Q451" i="13"/>
  <c r="M451" i="13"/>
  <c r="H451" i="13"/>
  <c r="S451" i="13"/>
  <c r="G451" i="13"/>
  <c r="O451" i="13"/>
  <c r="N451" i="13"/>
  <c r="I451" i="13"/>
  <c r="L451" i="13"/>
  <c r="L459" i="13" s="1"/>
  <c r="K194" i="13"/>
  <c r="J194" i="13"/>
  <c r="P194" i="13"/>
  <c r="S171" i="13"/>
  <c r="K171" i="13"/>
  <c r="J171" i="13"/>
  <c r="P171" i="13"/>
  <c r="S136" i="13"/>
  <c r="K136" i="13"/>
  <c r="P136" i="13"/>
  <c r="J136" i="13"/>
  <c r="S120" i="13"/>
  <c r="J120" i="13"/>
  <c r="P120" i="13"/>
  <c r="K120" i="13"/>
  <c r="P35" i="13"/>
  <c r="Q35" i="13"/>
  <c r="N35" i="13"/>
  <c r="K35" i="13"/>
  <c r="O35" i="13"/>
  <c r="L35" i="13"/>
  <c r="L45" i="13" s="1"/>
  <c r="M35" i="13"/>
  <c r="S52" i="13"/>
  <c r="P52" i="13"/>
  <c r="J52" i="13"/>
  <c r="K52" i="13"/>
  <c r="S35" i="13"/>
  <c r="O194" i="13"/>
  <c r="S194" i="13"/>
  <c r="M194" i="13"/>
  <c r="Q194" i="13"/>
  <c r="N194" i="13"/>
  <c r="H194" i="13"/>
  <c r="L194" i="13"/>
  <c r="L199" i="13" s="1"/>
  <c r="I194" i="13"/>
  <c r="N52" i="13"/>
  <c r="H52" i="13"/>
  <c r="O52" i="13"/>
  <c r="I52" i="13"/>
  <c r="Q52" i="13"/>
  <c r="L52" i="13"/>
  <c r="L61" i="13" s="1"/>
  <c r="M52" i="13"/>
  <c r="N136" i="13"/>
  <c r="Q136" i="13"/>
  <c r="I136" i="13"/>
  <c r="L136" i="13"/>
  <c r="L147" i="13" s="1"/>
  <c r="M136" i="13"/>
  <c r="G136" i="13"/>
  <c r="O136" i="13"/>
  <c r="H136" i="13"/>
  <c r="N120" i="13"/>
  <c r="M120" i="13"/>
  <c r="G120" i="13"/>
  <c r="Q120" i="13"/>
  <c r="L120" i="13"/>
  <c r="L129" i="13" s="1"/>
  <c r="I120" i="13"/>
  <c r="H120" i="13"/>
  <c r="O120" i="13"/>
  <c r="N171" i="13"/>
  <c r="H171" i="13"/>
  <c r="O171" i="13"/>
  <c r="I171" i="13"/>
  <c r="Q171" i="13"/>
  <c r="L171" i="13"/>
  <c r="M171" i="13"/>
  <c r="G171" i="13"/>
  <c r="G87" i="13"/>
  <c r="O466" i="13" l="1"/>
  <c r="M466" i="13"/>
  <c r="L466" i="13"/>
  <c r="L481" i="13" s="1"/>
  <c r="N466" i="13"/>
  <c r="G466" i="13"/>
  <c r="H466" i="13"/>
  <c r="I389" i="13"/>
  <c r="S466" i="13"/>
  <c r="I466" i="13"/>
  <c r="L261" i="13"/>
  <c r="L277" i="13" s="1"/>
  <c r="R505" i="13"/>
  <c r="M421" i="13"/>
  <c r="S421" i="13"/>
  <c r="Q389" i="13"/>
  <c r="O421" i="13"/>
  <c r="H421" i="13"/>
  <c r="I421" i="13"/>
  <c r="L421" i="13"/>
  <c r="L429" i="13" s="1"/>
  <c r="G421" i="13"/>
  <c r="N421" i="13"/>
  <c r="S104" i="13"/>
  <c r="G104" i="13"/>
  <c r="N389" i="13"/>
  <c r="G389" i="13"/>
  <c r="O389" i="13"/>
  <c r="L389" i="13"/>
  <c r="L398" i="13" s="1"/>
  <c r="M389" i="13"/>
  <c r="H389" i="13"/>
  <c r="P210" i="13"/>
  <c r="I405" i="13"/>
  <c r="N405" i="13"/>
  <c r="M210" i="13"/>
  <c r="N210" i="13"/>
  <c r="L230" i="13"/>
  <c r="L238" i="13" s="1"/>
  <c r="O405" i="13"/>
  <c r="L405" i="13"/>
  <c r="L414" i="13" s="1"/>
  <c r="G405" i="13"/>
  <c r="M405" i="13"/>
  <c r="S405" i="13"/>
  <c r="H405" i="13"/>
  <c r="S230" i="13"/>
  <c r="H210" i="13"/>
  <c r="K210" i="13"/>
  <c r="I210" i="13"/>
  <c r="Q210" i="13"/>
  <c r="O210" i="13"/>
  <c r="L210" i="13"/>
  <c r="L219" i="13" s="1"/>
  <c r="J210" i="13"/>
  <c r="S210" i="13"/>
  <c r="Q261" i="13"/>
  <c r="M261" i="13"/>
  <c r="S261" i="13"/>
  <c r="N261" i="13"/>
  <c r="I261" i="13"/>
  <c r="G261" i="13"/>
  <c r="O261" i="13"/>
  <c r="H230" i="13"/>
  <c r="N230" i="13"/>
  <c r="I230" i="13"/>
  <c r="M230" i="13"/>
  <c r="O230" i="13"/>
  <c r="Q230" i="13"/>
  <c r="J154" i="13"/>
  <c r="M154" i="13"/>
  <c r="L104" i="13"/>
  <c r="L113" i="13" s="1"/>
  <c r="K104" i="13"/>
  <c r="Q104" i="13"/>
  <c r="O104" i="13"/>
  <c r="P104" i="13"/>
  <c r="H104" i="13"/>
  <c r="M104" i="13"/>
  <c r="J104" i="13"/>
  <c r="I104" i="13"/>
  <c r="N104" i="13"/>
  <c r="H86" i="13"/>
  <c r="L154" i="13"/>
  <c r="K154" i="13"/>
  <c r="H154" i="13"/>
  <c r="Q154" i="13"/>
  <c r="N154" i="13"/>
  <c r="O154" i="13"/>
  <c r="P154" i="13"/>
  <c r="G154" i="13"/>
  <c r="I154" i="13"/>
  <c r="Q245" i="13"/>
  <c r="L245" i="13"/>
  <c r="L254" i="13" s="1"/>
  <c r="O245" i="13"/>
  <c r="I245" i="13"/>
  <c r="S245" i="13"/>
  <c r="M245" i="13"/>
  <c r="H245" i="13"/>
  <c r="O68" i="13"/>
  <c r="N86" i="13"/>
  <c r="G86" i="13"/>
  <c r="L86" i="13"/>
  <c r="L97" i="13" s="1"/>
  <c r="M86" i="13"/>
  <c r="S86" i="13"/>
  <c r="O86" i="13"/>
  <c r="P86" i="13"/>
  <c r="J86" i="13"/>
  <c r="I86" i="13"/>
  <c r="K86" i="13"/>
  <c r="Q317" i="13"/>
  <c r="S317" i="13"/>
  <c r="L317" i="13"/>
  <c r="L325" i="13" s="1"/>
  <c r="I317" i="13"/>
  <c r="M317" i="13"/>
  <c r="H317" i="13"/>
  <c r="G317" i="13"/>
  <c r="O317" i="13"/>
  <c r="N317" i="13"/>
  <c r="H68" i="13"/>
  <c r="Q68" i="13"/>
  <c r="G68" i="13"/>
  <c r="J68" i="13"/>
  <c r="K68" i="13"/>
  <c r="P68" i="13"/>
  <c r="I68" i="13"/>
  <c r="M68" i="13"/>
  <c r="S68" i="13"/>
  <c r="L68" i="13"/>
  <c r="L79" i="13" s="1"/>
  <c r="G52" i="13"/>
  <c r="G53" i="13"/>
  <c r="R506" i="13"/>
  <c r="I19" i="13"/>
  <c r="I506" i="13" s="1"/>
  <c r="L19" i="13"/>
  <c r="L506" i="13" s="1"/>
  <c r="Q19" i="13"/>
  <c r="Q506" i="13" s="1"/>
  <c r="P19" i="13"/>
  <c r="P506" i="13" s="1"/>
  <c r="J19" i="13"/>
  <c r="J506" i="13" s="1"/>
  <c r="N19" i="13"/>
  <c r="N506" i="13" s="1"/>
  <c r="G506" i="13"/>
  <c r="K19" i="13"/>
  <c r="K506" i="13" s="1"/>
  <c r="M19" i="13"/>
  <c r="M506" i="13" s="1"/>
  <c r="O19" i="13"/>
  <c r="O506" i="13" s="1"/>
  <c r="H19" i="13"/>
  <c r="H506" i="13" s="1"/>
  <c r="G505" i="13" l="1"/>
  <c r="H505" i="13"/>
  <c r="S18" i="13"/>
  <c r="L508" i="13"/>
  <c r="P18" i="13"/>
  <c r="P505" i="13" s="1"/>
  <c r="O18" i="13"/>
  <c r="O505" i="13" s="1"/>
  <c r="S505" i="13"/>
  <c r="Q18" i="13"/>
  <c r="Q505" i="13" s="1"/>
  <c r="N18" i="13"/>
  <c r="N505" i="13" s="1"/>
  <c r="I18" i="13"/>
  <c r="I505" i="13" s="1"/>
  <c r="J18" i="13"/>
  <c r="J505" i="13" s="1"/>
  <c r="L18" i="13"/>
  <c r="L505" i="13" s="1"/>
  <c r="K18" i="13"/>
  <c r="K505" i="13" s="1"/>
  <c r="M18" i="13"/>
  <c r="M505" i="13" s="1"/>
</calcChain>
</file>

<file path=xl/sharedStrings.xml><?xml version="1.0" encoding="utf-8"?>
<sst xmlns="http://schemas.openxmlformats.org/spreadsheetml/2006/main" count="389" uniqueCount="93">
  <si>
    <t>Адрес</t>
  </si>
  <si>
    <t>№ дома</t>
  </si>
  <si>
    <t>Приложение №_______ к договору №______________ от ___________________</t>
  </si>
  <si>
    <t>кол-во этажей</t>
  </si>
  <si>
    <t>Площадь жилых помещений</t>
  </si>
  <si>
    <t>Поселок, улица</t>
  </si>
  <si>
    <t>Площадь нежилых помещений</t>
  </si>
  <si>
    <t>Итого общая площадь жилых и нежилых помещений</t>
  </si>
  <si>
    <t>ИТОГО</t>
  </si>
  <si>
    <t>Расчетно-кассовое обслуживание</t>
  </si>
  <si>
    <t>Газовое хоз-во и ВДГО, вентканалы и дымоходы</t>
  </si>
  <si>
    <t>Общехозяйственные и управл.расходы</t>
  </si>
  <si>
    <t>Текущий ремонт</t>
  </si>
  <si>
    <t>Техническое обслуживание</t>
  </si>
  <si>
    <t>АДС</t>
  </si>
  <si>
    <t>Содержание придомовой тер-рии</t>
  </si>
  <si>
    <t>Вывоз ТБО</t>
  </si>
  <si>
    <t xml:space="preserve">                                            Затрачено по тек.ремонту</t>
  </si>
  <si>
    <t xml:space="preserve">                 Задолженность</t>
  </si>
  <si>
    <t xml:space="preserve">    Сумма начислений в год</t>
  </si>
  <si>
    <t xml:space="preserve">   Остаток от оплаченных ден.средств</t>
  </si>
  <si>
    <t>% оплаты</t>
  </si>
  <si>
    <t>Многоэтажные жилые дома, имеющие все виды благоустройства, с лифтом и мусоропроводом</t>
  </si>
  <si>
    <t>Лифт</t>
  </si>
  <si>
    <t>Мусоропровод</t>
  </si>
  <si>
    <t>Уборка МОП</t>
  </si>
  <si>
    <t>Тариф с 01.07.2015г.</t>
  </si>
  <si>
    <t>п.Скоропусковский</t>
  </si>
  <si>
    <t>1А</t>
  </si>
  <si>
    <t>2А</t>
  </si>
  <si>
    <t>Начислено в месяц по тарифу с  01.07.2015г.</t>
  </si>
  <si>
    <t>3А</t>
  </si>
  <si>
    <t>21А</t>
  </si>
  <si>
    <t>30А</t>
  </si>
  <si>
    <t>ИТОГО п.Скоропусковский:</t>
  </si>
  <si>
    <t>Многоэтажные капитальные жилые дома, имеющие  все виды благоустройства с лифтом без мусоропровода</t>
  </si>
  <si>
    <t>Многоэтажные капитальные жилые дома, имеющие  все виды благоустройства, кроме лифта и мусоропровода, с уборкой МОП</t>
  </si>
  <si>
    <t>Многоэтажные капитальные жилые дома, имеющие  все виды благоустройства, кроме лифта и мусоропровода, без уборки МОП</t>
  </si>
  <si>
    <t>4-4а</t>
  </si>
  <si>
    <t xml:space="preserve"> 7 / 9</t>
  </si>
  <si>
    <t xml:space="preserve"> 8-8а</t>
  </si>
  <si>
    <t>ИТОГО:</t>
  </si>
  <si>
    <t>Начислено в месяц по тарифу с  01.07.2017г.</t>
  </si>
  <si>
    <t>Начислено в месяц по тарифу с  01.01.2017г.</t>
  </si>
  <si>
    <t>сод и тек рем (в тч вх сальдо)</t>
  </si>
  <si>
    <t>ТБО (в тч вх сальдо)</t>
  </si>
  <si>
    <t>Данные РЦ за 6 мес 2017г</t>
  </si>
  <si>
    <t xml:space="preserve"> Начисления за содержание и ремонт по жилищному фонду п.Скоропусковский в 2018г.</t>
  </si>
  <si>
    <t xml:space="preserve">Тариф с 01.01.2018г. </t>
  </si>
  <si>
    <t>Начислено в месяц по тарифу с  01.01.2018г.</t>
  </si>
  <si>
    <t xml:space="preserve"> - дератизационные работы - март</t>
  </si>
  <si>
    <t xml:space="preserve"> - ремонт цоколя - апрель</t>
  </si>
  <si>
    <t xml:space="preserve"> - ремонт мягкой кровли кв 49,50,51 - май</t>
  </si>
  <si>
    <t xml:space="preserve"> - ремонт кровли входа в подвал - май</t>
  </si>
  <si>
    <t xml:space="preserve"> - замена кабеля под 2 - май</t>
  </si>
  <si>
    <t xml:space="preserve"> - ремонт щитовой - январь-март</t>
  </si>
  <si>
    <t xml:space="preserve"> - электромонтажные работы - январь-март</t>
  </si>
  <si>
    <t xml:space="preserve"> - светильники - январь-март</t>
  </si>
  <si>
    <t xml:space="preserve"> - ремонт щитовой с заменой трансформаторов тока - январь-март </t>
  </si>
  <si>
    <t xml:space="preserve"> - ремонт мягкой кровли кв 37,57,77 - июнь</t>
  </si>
  <si>
    <t xml:space="preserve"> - дезинсекционные работы - июль </t>
  </si>
  <si>
    <t xml:space="preserve"> - ремонт подъезда   - июнь</t>
  </si>
  <si>
    <t xml:space="preserve"> - ремонт подъезда № 1,5 - июнь</t>
  </si>
  <si>
    <t xml:space="preserve"> - ремонт подъезда № 3 - июнь</t>
  </si>
  <si>
    <t xml:space="preserve"> - ремонт подъезда № 1,4 - июнь</t>
  </si>
  <si>
    <t xml:space="preserve"> - ремонт подъезда № 6 - июль</t>
  </si>
  <si>
    <t xml:space="preserve"> - ремонт подъезда № 2 - июль</t>
  </si>
  <si>
    <t xml:space="preserve">  - ремонт подъезда № 5 - июль</t>
  </si>
  <si>
    <t xml:space="preserve">  - ремонт подъезда № 4 - июль</t>
  </si>
  <si>
    <t xml:space="preserve"> - ремонт мягкой кровли кв № 35,50,65,78,79,97 - июль</t>
  </si>
  <si>
    <t xml:space="preserve"> - ремонт мягкой кровли кв № 46,47,48 - июль</t>
  </si>
  <si>
    <t xml:space="preserve"> - под № 1- ремонт подъезда - август</t>
  </si>
  <si>
    <t xml:space="preserve"> - кв 33,34 - ремонт кровли-август</t>
  </si>
  <si>
    <t xml:space="preserve">Тариф с 01.07.2018г. </t>
  </si>
  <si>
    <t xml:space="preserve">     Начислено c 01.01.2018г. По 31.12.2018г.</t>
  </si>
  <si>
    <t xml:space="preserve">    Оплачено c 01.01.2018г. По 31.12.2018г.</t>
  </si>
  <si>
    <t>Начислено в месяц по тарифу с  01.07.2018г.</t>
  </si>
  <si>
    <t>Тариф с 01.01.2018г.</t>
  </si>
  <si>
    <t xml:space="preserve">  - ремонт подъезда № 6 - август</t>
  </si>
  <si>
    <t xml:space="preserve"> - ремонт межпанельных швов - сентябрь</t>
  </si>
  <si>
    <t xml:space="preserve"> - ремонт температурного шва - сентябрь </t>
  </si>
  <si>
    <t xml:space="preserve"> - ремон межпанельных швов - сентбрь</t>
  </si>
  <si>
    <t xml:space="preserve"> - выполнение работ по замене тяговых канатов лифта - октябрь</t>
  </si>
  <si>
    <t xml:space="preserve"> - кв 18,33 - ремонт мягкой кровли- октябрь</t>
  </si>
  <si>
    <t xml:space="preserve"> - ремонт мягкой кровли - октябрь</t>
  </si>
  <si>
    <t xml:space="preserve"> -  ремонт мягкой кровли - октябрь</t>
  </si>
  <si>
    <t xml:space="preserve"> - ремонт мягкой кровли кв 60,79 - ноябрь</t>
  </si>
  <si>
    <t xml:space="preserve"> - ремонт под № 2 - ноябрь</t>
  </si>
  <si>
    <t xml:space="preserve"> - ремонт под № 3- ноябрь</t>
  </si>
  <si>
    <t xml:space="preserve"> - ремонт под № 4- ноябрь</t>
  </si>
  <si>
    <t xml:space="preserve"> - ремонт подъезда № 1,2,3,4,5,6 - октябрь</t>
  </si>
  <si>
    <t xml:space="preserve"> - ремонт подъезда № 1- ноябрь</t>
  </si>
  <si>
    <t xml:space="preserve"> - ремонт подъезда № 1 - ноябрь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</si>
</sst>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_р_._-;\-* #,##0.0_р_._-;_-* &quot;-&quot;??_р_._-;_-@_-"/>
    <numFmt numFmtId="166" formatCode="_-* #,##0_р_._-;\-* #,##0_р_._-;_-* &quot;-&quot;??_р_._-;_-@_-"/>
    <numFmt numFmtId="167" formatCode="_-* #,##0_р_._-;\-* #,##0_р_._-;_-* &quot;-&quot;?_р_._-;_-@_-"/>
    <numFmt numFmtId="168" formatCode="_-* #,##0.0_р_._-;\-* #,##0.0_р_._-;_-* &quot;-&quot;?_р_._-;_-@_-"/>
    <numFmt numFmtId="169" formatCode="_-* #,##0.00_р_._-;\-* #,##0.00_р_._-;_-* &quot;-&quot;?_р_._-;_-@_-"/>
    <numFmt numFmtId="170" formatCode="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2">
    <xf numFmtId="0" fontId="0" fillId="0" borderId="0" xfId="0"/>
    <xf numFmtId="165" fontId="0" fillId="2" borderId="0" xfId="1" applyNumberFormat="1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5" fontId="0" fillId="2" borderId="6" xfId="1" applyNumberFormat="1" applyFont="1" applyFill="1" applyBorder="1" applyAlignment="1">
      <alignment horizontal="center" vertical="center" wrapText="1"/>
    </xf>
    <xf numFmtId="166" fontId="0" fillId="2" borderId="6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7" fontId="0" fillId="2" borderId="1" xfId="0" applyNumberFormat="1" applyFill="1" applyBorder="1" applyAlignment="1">
      <alignment horizontal="center" vertical="center" wrapText="1"/>
    </xf>
    <xf numFmtId="167" fontId="2" fillId="2" borderId="1" xfId="0" applyNumberFormat="1" applyFont="1" applyFill="1" applyBorder="1" applyAlignment="1">
      <alignment horizontal="center" vertical="center" wrapText="1"/>
    </xf>
    <xf numFmtId="168" fontId="0" fillId="2" borderId="1" xfId="0" applyNumberFormat="1" applyFont="1" applyFill="1" applyBorder="1" applyAlignment="1">
      <alignment horizontal="center" vertical="center" wrapText="1"/>
    </xf>
    <xf numFmtId="166" fontId="0" fillId="2" borderId="4" xfId="1" applyNumberFormat="1" applyFont="1" applyFill="1" applyBorder="1" applyAlignment="1">
      <alignment horizontal="center" vertical="center" wrapText="1"/>
    </xf>
    <xf numFmtId="165" fontId="0" fillId="2" borderId="4" xfId="1" applyNumberFormat="1" applyFont="1" applyFill="1" applyBorder="1" applyAlignment="1">
      <alignment horizontal="center" vertical="center" wrapText="1"/>
    </xf>
    <xf numFmtId="167" fontId="0" fillId="2" borderId="9" xfId="0" applyNumberFormat="1" applyFill="1" applyBorder="1" applyAlignment="1">
      <alignment horizontal="center" vertical="center" wrapText="1"/>
    </xf>
    <xf numFmtId="166" fontId="2" fillId="2" borderId="6" xfId="1" applyNumberFormat="1" applyFont="1" applyFill="1" applyBorder="1" applyAlignment="1">
      <alignment horizontal="center" vertical="center" wrapText="1"/>
    </xf>
    <xf numFmtId="165" fontId="2" fillId="2" borderId="6" xfId="1" applyNumberFormat="1" applyFont="1" applyFill="1" applyBorder="1" applyAlignment="1">
      <alignment horizontal="center" vertical="center" wrapText="1"/>
    </xf>
    <xf numFmtId="167" fontId="0" fillId="2" borderId="1" xfId="0" applyNumberFormat="1" applyFont="1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167" fontId="0" fillId="2" borderId="0" xfId="0" applyNumberFormat="1" applyFill="1" applyAlignment="1">
      <alignment horizontal="center" vertical="center" wrapText="1"/>
    </xf>
    <xf numFmtId="167" fontId="0" fillId="5" borderId="1" xfId="0" applyNumberFormat="1" applyFont="1" applyFill="1" applyBorder="1" applyAlignment="1">
      <alignment horizontal="center" vertical="center" wrapText="1"/>
    </xf>
    <xf numFmtId="167" fontId="0" fillId="5" borderId="1" xfId="0" applyNumberForma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167" fontId="0" fillId="2" borderId="3" xfId="0" applyNumberFormat="1" applyFill="1" applyBorder="1" applyAlignment="1">
      <alignment horizontal="center" vertical="center" wrapText="1"/>
    </xf>
    <xf numFmtId="167" fontId="0" fillId="2" borderId="9" xfId="0" applyNumberFormat="1" applyFon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167" fontId="2" fillId="2" borderId="9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167" fontId="2" fillId="2" borderId="3" xfId="0" applyNumberFormat="1" applyFont="1" applyFill="1" applyBorder="1" applyAlignment="1">
      <alignment horizontal="center" vertical="center" wrapText="1"/>
    </xf>
    <xf numFmtId="166" fontId="1" fillId="2" borderId="6" xfId="1" applyNumberFormat="1" applyFont="1" applyFill="1" applyBorder="1" applyAlignment="1">
      <alignment horizontal="center" vertical="center" wrapText="1"/>
    </xf>
    <xf numFmtId="165" fontId="1" fillId="2" borderId="6" xfId="1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168" fontId="2" fillId="2" borderId="4" xfId="0" applyNumberFormat="1" applyFont="1" applyFill="1" applyBorder="1" applyAlignment="1">
      <alignment horizontal="left" vertical="center" wrapText="1"/>
    </xf>
    <xf numFmtId="167" fontId="0" fillId="2" borderId="3" xfId="0" applyNumberFormat="1" applyFont="1" applyFill="1" applyBorder="1" applyAlignment="1">
      <alignment horizontal="center" vertical="center" wrapText="1"/>
    </xf>
    <xf numFmtId="164" fontId="0" fillId="2" borderId="0" xfId="1" applyFont="1" applyFill="1" applyAlignment="1">
      <alignment horizontal="center" vertical="center" wrapText="1"/>
    </xf>
    <xf numFmtId="164" fontId="0" fillId="2" borderId="16" xfId="1" applyFont="1" applyFill="1" applyBorder="1" applyAlignment="1">
      <alignment horizontal="center" vertical="center" wrapText="1"/>
    </xf>
    <xf numFmtId="164" fontId="0" fillId="2" borderId="17" xfId="1" applyFont="1" applyFill="1" applyBorder="1" applyAlignment="1">
      <alignment horizontal="center" vertical="center" wrapText="1"/>
    </xf>
    <xf numFmtId="164" fontId="2" fillId="2" borderId="17" xfId="1" applyFont="1" applyFill="1" applyBorder="1" applyAlignment="1">
      <alignment horizontal="center" vertical="center" wrapText="1"/>
    </xf>
    <xf numFmtId="164" fontId="0" fillId="2" borderId="18" xfId="1" applyFont="1" applyFill="1" applyBorder="1" applyAlignment="1">
      <alignment horizontal="center" vertical="center" wrapText="1"/>
    </xf>
    <xf numFmtId="164" fontId="2" fillId="2" borderId="16" xfId="1" applyFont="1" applyFill="1" applyBorder="1" applyAlignment="1">
      <alignment horizontal="center" vertical="center" wrapText="1"/>
    </xf>
    <xf numFmtId="164" fontId="0" fillId="2" borderId="20" xfId="1" applyFont="1" applyFill="1" applyBorder="1" applyAlignment="1">
      <alignment horizontal="center" vertical="center" wrapText="1"/>
    </xf>
    <xf numFmtId="164" fontId="0" fillId="2" borderId="24" xfId="1" applyFont="1" applyFill="1" applyBorder="1" applyAlignment="1">
      <alignment horizontal="center" vertical="center" wrapText="1"/>
    </xf>
    <xf numFmtId="164" fontId="3" fillId="2" borderId="16" xfId="1" applyFont="1" applyFill="1" applyBorder="1" applyAlignment="1">
      <alignment horizontal="center" vertical="center" wrapText="1"/>
    </xf>
    <xf numFmtId="164" fontId="2" fillId="2" borderId="0" xfId="1" applyFont="1" applyFill="1" applyAlignment="1">
      <alignment horizontal="center" vertical="center" wrapText="1"/>
    </xf>
    <xf numFmtId="164" fontId="2" fillId="2" borderId="18" xfId="1" applyFont="1" applyFill="1" applyBorder="1" applyAlignment="1">
      <alignment horizontal="center" vertical="center" wrapText="1"/>
    </xf>
    <xf numFmtId="164" fontId="2" fillId="2" borderId="20" xfId="1" applyFont="1" applyFill="1" applyBorder="1" applyAlignment="1">
      <alignment horizontal="center" vertical="center" wrapText="1"/>
    </xf>
    <xf numFmtId="164" fontId="2" fillId="2" borderId="24" xfId="1" applyFont="1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0" fillId="2" borderId="35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0" fillId="2" borderId="36" xfId="0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0" fillId="2" borderId="37" xfId="0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0" fillId="2" borderId="34" xfId="0" applyFont="1" applyFill="1" applyBorder="1" applyAlignment="1">
      <alignment horizontal="center" vertical="center" wrapText="1"/>
    </xf>
    <xf numFmtId="0" fontId="0" fillId="2" borderId="37" xfId="0" applyFont="1" applyFill="1" applyBorder="1" applyAlignment="1">
      <alignment horizontal="center" vertical="center" wrapText="1"/>
    </xf>
    <xf numFmtId="0" fontId="0" fillId="2" borderId="36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168" fontId="0" fillId="2" borderId="17" xfId="0" applyNumberFormat="1" applyFont="1" applyFill="1" applyBorder="1" applyAlignment="1">
      <alignment horizontal="center" vertical="center" wrapText="1"/>
    </xf>
    <xf numFmtId="167" fontId="2" fillId="2" borderId="17" xfId="0" applyNumberFormat="1" applyFont="1" applyFill="1" applyBorder="1" applyAlignment="1">
      <alignment horizontal="center" vertical="center" wrapText="1"/>
    </xf>
    <xf numFmtId="167" fontId="2" fillId="2" borderId="18" xfId="0" applyNumberFormat="1" applyFont="1" applyFill="1" applyBorder="1" applyAlignment="1">
      <alignment horizontal="center" vertical="center" wrapText="1"/>
    </xf>
    <xf numFmtId="167" fontId="2" fillId="2" borderId="24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67" fontId="0" fillId="2" borderId="17" xfId="0" applyNumberFormat="1" applyFont="1" applyFill="1" applyBorder="1" applyAlignment="1">
      <alignment horizontal="center" vertical="center" wrapText="1"/>
    </xf>
    <xf numFmtId="167" fontId="0" fillId="2" borderId="24" xfId="0" applyNumberFormat="1" applyFont="1" applyFill="1" applyBorder="1" applyAlignment="1">
      <alignment horizontal="center" vertical="center" wrapText="1"/>
    </xf>
    <xf numFmtId="167" fontId="0" fillId="2" borderId="18" xfId="0" applyNumberFormat="1" applyFont="1" applyFill="1" applyBorder="1" applyAlignment="1">
      <alignment horizontal="center" vertical="center" wrapText="1"/>
    </xf>
    <xf numFmtId="169" fontId="2" fillId="2" borderId="1" xfId="0" applyNumberFormat="1" applyFont="1" applyFill="1" applyBorder="1" applyAlignment="1">
      <alignment horizontal="center" vertical="center" wrapText="1"/>
    </xf>
    <xf numFmtId="2" fontId="0" fillId="5" borderId="6" xfId="0" applyNumberFormat="1" applyFill="1" applyBorder="1" applyAlignment="1">
      <alignment horizontal="center" vertical="center" wrapText="1"/>
    </xf>
    <xf numFmtId="2" fontId="0" fillId="5" borderId="9" xfId="0" applyNumberFormat="1" applyFill="1" applyBorder="1" applyAlignment="1">
      <alignment horizontal="center" vertical="center" wrapText="1"/>
    </xf>
    <xf numFmtId="164" fontId="0" fillId="2" borderId="9" xfId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164" fontId="8" fillId="2" borderId="22" xfId="1" applyFont="1" applyFill="1" applyBorder="1" applyAlignment="1">
      <alignment horizontal="center" vertical="center" wrapText="1"/>
    </xf>
    <xf numFmtId="164" fontId="8" fillId="2" borderId="33" xfId="1" applyFont="1" applyFill="1" applyBorder="1" applyAlignment="1">
      <alignment horizontal="center" vertical="center" wrapText="1"/>
    </xf>
    <xf numFmtId="43" fontId="0" fillId="2" borderId="0" xfId="0" applyNumberFormat="1" applyFill="1" applyAlignment="1">
      <alignment horizontal="center" vertical="center" wrapText="1"/>
    </xf>
    <xf numFmtId="166" fontId="2" fillId="2" borderId="4" xfId="1" applyNumberFormat="1" applyFont="1" applyFill="1" applyBorder="1" applyAlignment="1">
      <alignment horizontal="center" vertical="center" wrapText="1"/>
    </xf>
    <xf numFmtId="165" fontId="2" fillId="2" borderId="4" xfId="1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0" fillId="7" borderId="19" xfId="0" applyFont="1" applyFill="1" applyBorder="1" applyAlignment="1">
      <alignment horizontal="left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0" fillId="7" borderId="5" xfId="0" applyFont="1" applyFill="1" applyBorder="1" applyAlignment="1">
      <alignment horizontal="left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left" vertical="center" wrapText="1"/>
    </xf>
    <xf numFmtId="0" fontId="0" fillId="7" borderId="19" xfId="0" applyFill="1" applyBorder="1" applyAlignment="1">
      <alignment horizontal="left" vertical="center" wrapText="1"/>
    </xf>
    <xf numFmtId="0" fontId="0" fillId="2" borderId="39" xfId="0" applyFill="1" applyBorder="1" applyAlignment="1">
      <alignment horizontal="center" vertical="center" wrapText="1"/>
    </xf>
    <xf numFmtId="164" fontId="0" fillId="2" borderId="22" xfId="1" applyFont="1" applyFill="1" applyBorder="1" applyAlignment="1">
      <alignment horizontal="center" vertical="center" wrapText="1"/>
    </xf>
    <xf numFmtId="164" fontId="2" fillId="2" borderId="22" xfId="1" applyFont="1" applyFill="1" applyBorder="1" applyAlignment="1">
      <alignment horizontal="center" vertical="center" wrapText="1"/>
    </xf>
    <xf numFmtId="2" fontId="2" fillId="5" borderId="18" xfId="0" applyNumberFormat="1" applyFont="1" applyFill="1" applyBorder="1" applyAlignment="1">
      <alignment horizontal="center" vertical="center" wrapText="1"/>
    </xf>
    <xf numFmtId="170" fontId="0" fillId="5" borderId="9" xfId="0" applyNumberFormat="1" applyFill="1" applyBorder="1" applyAlignment="1">
      <alignment horizontal="center" vertical="center" wrapText="1"/>
    </xf>
    <xf numFmtId="16" fontId="2" fillId="7" borderId="6" xfId="0" applyNumberFormat="1" applyFont="1" applyFill="1" applyBorder="1" applyAlignment="1">
      <alignment horizontal="center" vertical="center" wrapText="1"/>
    </xf>
    <xf numFmtId="16" fontId="2" fillId="7" borderId="4" xfId="0" applyNumberFormat="1" applyFont="1" applyFill="1" applyBorder="1" applyAlignment="1">
      <alignment horizontal="center" vertical="center" wrapText="1"/>
    </xf>
    <xf numFmtId="1" fontId="2" fillId="7" borderId="6" xfId="0" applyNumberFormat="1" applyFont="1" applyFill="1" applyBorder="1" applyAlignment="1">
      <alignment horizontal="center" vertical="center" wrapText="1"/>
    </xf>
    <xf numFmtId="1" fontId="2" fillId="7" borderId="4" xfId="0" applyNumberFormat="1" applyFont="1" applyFill="1" applyBorder="1" applyAlignment="1">
      <alignment horizontal="center" vertical="center" wrapText="1"/>
    </xf>
    <xf numFmtId="2" fontId="2" fillId="5" borderId="17" xfId="0" applyNumberFormat="1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2" fontId="0" fillId="5" borderId="3" xfId="0" applyNumberForma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7" fontId="10" fillId="5" borderId="17" xfId="0" applyNumberFormat="1" applyFont="1" applyFill="1" applyBorder="1" applyAlignment="1">
      <alignment horizontal="center" vertical="center" wrapText="1"/>
    </xf>
    <xf numFmtId="167" fontId="11" fillId="5" borderId="17" xfId="0" applyNumberFormat="1" applyFont="1" applyFill="1" applyBorder="1" applyAlignment="1">
      <alignment horizontal="center" vertical="center" wrapText="1"/>
    </xf>
    <xf numFmtId="167" fontId="11" fillId="6" borderId="17" xfId="0" applyNumberFormat="1" applyFont="1" applyFill="1" applyBorder="1" applyAlignment="1">
      <alignment horizontal="center" vertical="center" wrapText="1"/>
    </xf>
    <xf numFmtId="167" fontId="0" fillId="2" borderId="0" xfId="0" applyNumberFormat="1" applyFont="1" applyFill="1" applyAlignment="1">
      <alignment horizontal="center" vertical="center" wrapText="1"/>
    </xf>
    <xf numFmtId="167" fontId="0" fillId="8" borderId="1" xfId="0" applyNumberFormat="1" applyFont="1" applyFill="1" applyBorder="1" applyAlignment="1">
      <alignment horizontal="center" vertical="center" wrapText="1"/>
    </xf>
    <xf numFmtId="167" fontId="0" fillId="8" borderId="3" xfId="0" applyNumberFormat="1" applyFont="1" applyFill="1" applyBorder="1" applyAlignment="1">
      <alignment horizontal="center" vertical="center" wrapText="1"/>
    </xf>
    <xf numFmtId="167" fontId="0" fillId="8" borderId="3" xfId="0" applyNumberFormat="1" applyFill="1" applyBorder="1" applyAlignment="1">
      <alignment horizontal="center" vertical="center" wrapText="1"/>
    </xf>
    <xf numFmtId="167" fontId="0" fillId="8" borderId="1" xfId="0" applyNumberFormat="1" applyFill="1" applyBorder="1" applyAlignment="1">
      <alignment horizontal="center" vertical="center" wrapText="1"/>
    </xf>
    <xf numFmtId="167" fontId="10" fillId="2" borderId="3" xfId="0" applyNumberFormat="1" applyFont="1" applyFill="1" applyBorder="1" applyAlignment="1">
      <alignment horizontal="center" vertical="center" wrapText="1"/>
    </xf>
    <xf numFmtId="167" fontId="0" fillId="9" borderId="3" xfId="0" applyNumberFormat="1" applyFont="1" applyFill="1" applyBorder="1" applyAlignment="1">
      <alignment horizontal="center" vertical="center" wrapText="1"/>
    </xf>
    <xf numFmtId="167" fontId="7" fillId="9" borderId="3" xfId="0" applyNumberFormat="1" applyFont="1" applyFill="1" applyBorder="1" applyAlignment="1">
      <alignment horizontal="center" vertical="center" wrapText="1"/>
    </xf>
    <xf numFmtId="167" fontId="0" fillId="9" borderId="3" xfId="0" applyNumberForma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right" vertical="center" wrapText="1"/>
    </xf>
    <xf numFmtId="0" fontId="6" fillId="6" borderId="14" xfId="0" applyFont="1" applyFill="1" applyBorder="1" applyAlignment="1">
      <alignment horizontal="right" vertical="center" wrapText="1"/>
    </xf>
    <xf numFmtId="0" fontId="6" fillId="6" borderId="10" xfId="0" applyFont="1" applyFill="1" applyBorder="1" applyAlignment="1">
      <alignment horizontal="right" vertical="center" wrapText="1"/>
    </xf>
    <xf numFmtId="0" fontId="6" fillId="6" borderId="7" xfId="0" applyFont="1" applyFill="1" applyBorder="1" applyAlignment="1">
      <alignment horizontal="right" vertical="center" wrapText="1"/>
    </xf>
    <xf numFmtId="0" fontId="6" fillId="6" borderId="1" xfId="0" applyFont="1" applyFill="1" applyBorder="1" applyAlignment="1">
      <alignment horizontal="right" vertical="center" wrapText="1"/>
    </xf>
    <xf numFmtId="0" fontId="6" fillId="6" borderId="23" xfId="0" applyFont="1" applyFill="1" applyBorder="1" applyAlignment="1">
      <alignment horizontal="right" vertical="center" wrapText="1"/>
    </xf>
    <xf numFmtId="0" fontId="6" fillId="6" borderId="3" xfId="0" applyFont="1" applyFill="1" applyBorder="1" applyAlignment="1">
      <alignment horizontal="right" vertical="center" wrapText="1"/>
    </xf>
    <xf numFmtId="0" fontId="6" fillId="6" borderId="8" xfId="0" applyFont="1" applyFill="1" applyBorder="1" applyAlignment="1">
      <alignment horizontal="right" vertical="center" wrapText="1"/>
    </xf>
    <xf numFmtId="0" fontId="6" fillId="6" borderId="9" xfId="0" applyFont="1" applyFill="1" applyBorder="1" applyAlignment="1">
      <alignment horizontal="right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4" borderId="40" xfId="0" applyFont="1" applyFill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center" vertical="center" wrapText="1"/>
    </xf>
    <xf numFmtId="0" fontId="3" fillId="4" borderId="42" xfId="0" applyFont="1" applyFill="1" applyBorder="1" applyAlignment="1">
      <alignment horizontal="center" vertical="center" wrapText="1"/>
    </xf>
    <xf numFmtId="164" fontId="8" fillId="2" borderId="28" xfId="1" applyFont="1" applyFill="1" applyBorder="1" applyAlignment="1">
      <alignment horizontal="center" vertical="center" wrapText="1"/>
    </xf>
    <xf numFmtId="164" fontId="8" fillId="2" borderId="29" xfId="1" applyFont="1" applyFill="1" applyBorder="1" applyAlignment="1">
      <alignment horizontal="center" vertical="center" wrapText="1"/>
    </xf>
    <xf numFmtId="164" fontId="8" fillId="2" borderId="30" xfId="1" applyFont="1" applyFill="1" applyBorder="1" applyAlignment="1">
      <alignment horizontal="center" vertical="center" wrapText="1"/>
    </xf>
    <xf numFmtId="164" fontId="8" fillId="2" borderId="0" xfId="1" applyFont="1" applyFill="1" applyBorder="1" applyAlignment="1">
      <alignment horizontal="center" vertical="center" wrapText="1"/>
    </xf>
    <xf numFmtId="164" fontId="8" fillId="2" borderId="31" xfId="1" applyFont="1" applyFill="1" applyBorder="1" applyAlignment="1">
      <alignment horizontal="center" vertical="center" wrapText="1"/>
    </xf>
    <xf numFmtId="164" fontId="8" fillId="2" borderId="32" xfId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right" vertical="center" wrapText="1"/>
    </xf>
    <xf numFmtId="164" fontId="9" fillId="2" borderId="25" xfId="1" applyFont="1" applyFill="1" applyBorder="1" applyAlignment="1">
      <alignment horizontal="center" vertical="center" wrapText="1"/>
    </xf>
    <xf numFmtId="164" fontId="9" fillId="2" borderId="26" xfId="1" applyFont="1" applyFill="1" applyBorder="1" applyAlignment="1">
      <alignment horizontal="center" vertical="center" wrapText="1"/>
    </xf>
    <xf numFmtId="164" fontId="9" fillId="2" borderId="27" xfId="1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right" vertical="center" wrapText="1"/>
    </xf>
    <xf numFmtId="0" fontId="12" fillId="2" borderId="11" xfId="0" applyFont="1" applyFill="1" applyBorder="1" applyAlignment="1">
      <alignment horizontal="right" vertical="center" wrapText="1"/>
    </xf>
    <xf numFmtId="0" fontId="12" fillId="2" borderId="2" xfId="0" applyFont="1" applyFill="1" applyBorder="1" applyAlignment="1">
      <alignment horizontal="right" vertical="center" wrapText="1"/>
    </xf>
    <xf numFmtId="0" fontId="6" fillId="6" borderId="12" xfId="0" applyFont="1" applyFill="1" applyBorder="1" applyAlignment="1">
      <alignment horizontal="right" vertical="center" wrapText="1"/>
    </xf>
    <xf numFmtId="0" fontId="6" fillId="6" borderId="11" xfId="0" applyFont="1" applyFill="1" applyBorder="1" applyAlignment="1">
      <alignment horizontal="right" vertical="center" wrapText="1"/>
    </xf>
    <xf numFmtId="0" fontId="6" fillId="6" borderId="2" xfId="0" applyFont="1" applyFill="1" applyBorder="1" applyAlignment="1">
      <alignment horizontal="right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19"/>
  <sheetViews>
    <sheetView tabSelected="1" topLeftCell="A2" zoomScale="80" zoomScaleNormal="80" workbookViewId="0">
      <pane xSplit="6" ySplit="7" topLeftCell="G239" activePane="bottomRight" state="frozen"/>
      <selection activeCell="A2" sqref="A2"/>
      <selection pane="topRight" activeCell="G2" sqref="G2"/>
      <selection pane="bottomLeft" activeCell="A10" sqref="A10"/>
      <selection pane="bottomRight" activeCell="L419" sqref="L419"/>
    </sheetView>
  </sheetViews>
  <sheetFormatPr defaultRowHeight="15" x14ac:dyDescent="0.25"/>
  <cols>
    <col min="1" max="1" width="19.42578125" style="2" customWidth="1"/>
    <col min="2" max="2" width="5.7109375" style="2" customWidth="1"/>
    <col min="3" max="3" width="6" style="2" customWidth="1"/>
    <col min="4" max="4" width="12.140625" style="2" customWidth="1"/>
    <col min="5" max="5" width="11.7109375" style="2" customWidth="1"/>
    <col min="6" max="6" width="12.7109375" style="2" customWidth="1"/>
    <col min="7" max="7" width="12" style="2" customWidth="1"/>
    <col min="8" max="8" width="10.5703125" style="2" customWidth="1"/>
    <col min="9" max="11" width="12" style="2" customWidth="1"/>
    <col min="12" max="12" width="16.140625" style="2" customWidth="1"/>
    <col min="13" max="13" width="12" style="2" customWidth="1"/>
    <col min="14" max="14" width="11.5703125" style="2" customWidth="1"/>
    <col min="15" max="16" width="12.5703125" style="2" customWidth="1"/>
    <col min="17" max="17" width="12.140625" style="2" customWidth="1"/>
    <col min="18" max="18" width="13" style="8" customWidth="1"/>
    <col min="19" max="19" width="6.42578125" style="2" hidden="1" customWidth="1"/>
    <col min="20" max="20" width="17.7109375" style="35" hidden="1" customWidth="1"/>
    <col min="21" max="21" width="16.42578125" style="35" hidden="1" customWidth="1"/>
    <col min="22" max="22" width="18.5703125" style="44" hidden="1" customWidth="1"/>
    <col min="23" max="23" width="13" style="2" bestFit="1" customWidth="1"/>
    <col min="24" max="24" width="12.140625" style="2" bestFit="1" customWidth="1"/>
    <col min="25" max="16384" width="9.140625" style="2"/>
  </cols>
  <sheetData>
    <row r="1" spans="1:25" ht="28.5" hidden="1" customHeight="1" x14ac:dyDescent="0.25">
      <c r="A1" s="156" t="s">
        <v>2</v>
      </c>
      <c r="B1" s="156"/>
      <c r="C1" s="156"/>
      <c r="D1" s="156"/>
      <c r="E1" s="156"/>
      <c r="F1" s="156"/>
    </row>
    <row r="2" spans="1:25" ht="33.75" customHeight="1" thickBot="1" x14ac:dyDescent="0.3">
      <c r="A2" s="162" t="s">
        <v>47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</row>
    <row r="3" spans="1:25" ht="36" customHeight="1" x14ac:dyDescent="0.25">
      <c r="A3" s="157" t="s">
        <v>0</v>
      </c>
      <c r="B3" s="158"/>
      <c r="C3" s="158" t="s">
        <v>3</v>
      </c>
      <c r="D3" s="158" t="s">
        <v>4</v>
      </c>
      <c r="E3" s="158" t="s">
        <v>6</v>
      </c>
      <c r="F3" s="158" t="s">
        <v>7</v>
      </c>
      <c r="G3" s="158" t="s">
        <v>9</v>
      </c>
      <c r="H3" s="158" t="s">
        <v>10</v>
      </c>
      <c r="I3" s="158" t="s">
        <v>11</v>
      </c>
      <c r="J3" s="158" t="s">
        <v>23</v>
      </c>
      <c r="K3" s="158" t="s">
        <v>24</v>
      </c>
      <c r="L3" s="158" t="s">
        <v>12</v>
      </c>
      <c r="M3" s="158" t="s">
        <v>13</v>
      </c>
      <c r="N3" s="158" t="s">
        <v>14</v>
      </c>
      <c r="O3" s="158" t="s">
        <v>15</v>
      </c>
      <c r="P3" s="158" t="s">
        <v>25</v>
      </c>
      <c r="Q3" s="158" t="s">
        <v>16</v>
      </c>
      <c r="R3" s="163" t="s">
        <v>8</v>
      </c>
      <c r="S3" s="166" t="s">
        <v>21</v>
      </c>
      <c r="T3" s="143" t="s">
        <v>46</v>
      </c>
      <c r="U3" s="144"/>
      <c r="V3" s="151" t="s">
        <v>41</v>
      </c>
      <c r="W3" s="75"/>
      <c r="X3" s="75"/>
      <c r="Y3" s="75"/>
    </row>
    <row r="4" spans="1:25" s="4" customFormat="1" ht="6.75" customHeight="1" x14ac:dyDescent="0.25">
      <c r="A4" s="159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4"/>
      <c r="S4" s="167"/>
      <c r="T4" s="145"/>
      <c r="U4" s="146"/>
      <c r="V4" s="152"/>
      <c r="W4" s="76"/>
      <c r="X4" s="76"/>
      <c r="Y4" s="76"/>
    </row>
    <row r="5" spans="1:25" s="4" customFormat="1" ht="24" customHeight="1" x14ac:dyDescent="0.25">
      <c r="A5" s="159" t="s">
        <v>5</v>
      </c>
      <c r="B5" s="160" t="s">
        <v>1</v>
      </c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4"/>
      <c r="S5" s="167"/>
      <c r="T5" s="145"/>
      <c r="U5" s="146"/>
      <c r="V5" s="152"/>
      <c r="W5" s="76"/>
      <c r="X5" s="76"/>
      <c r="Y5" s="76"/>
    </row>
    <row r="6" spans="1:25" s="4" customFormat="1" ht="15" customHeight="1" thickBot="1" x14ac:dyDescent="0.3">
      <c r="A6" s="171"/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5"/>
      <c r="S6" s="168"/>
      <c r="T6" s="147"/>
      <c r="U6" s="148"/>
      <c r="V6" s="152"/>
      <c r="W6" s="76"/>
      <c r="X6" s="76"/>
      <c r="Y6" s="76"/>
    </row>
    <row r="7" spans="1:25" ht="27.75" customHeight="1" thickBot="1" x14ac:dyDescent="0.3">
      <c r="A7" s="169" t="s">
        <v>22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77"/>
      <c r="T7" s="78" t="s">
        <v>44</v>
      </c>
      <c r="U7" s="79" t="s">
        <v>45</v>
      </c>
      <c r="V7" s="153"/>
      <c r="W7" s="75"/>
      <c r="X7" s="75"/>
      <c r="Y7" s="75"/>
    </row>
    <row r="8" spans="1:25" ht="21.75" customHeight="1" x14ac:dyDescent="0.25">
      <c r="A8" s="138"/>
      <c r="B8" s="139"/>
      <c r="C8" s="139"/>
      <c r="D8" s="139"/>
      <c r="E8" s="139"/>
      <c r="F8" s="139"/>
      <c r="G8" s="25"/>
      <c r="H8" s="70"/>
      <c r="I8" s="25"/>
      <c r="J8" s="25"/>
      <c r="K8" s="25"/>
      <c r="L8" s="25"/>
      <c r="M8" s="25"/>
      <c r="N8" s="70"/>
      <c r="O8" s="25"/>
      <c r="P8" s="25"/>
      <c r="Q8" s="25"/>
      <c r="R8" s="60"/>
      <c r="S8" s="48"/>
      <c r="T8" s="36"/>
      <c r="U8" s="36"/>
      <c r="V8" s="40"/>
    </row>
    <row r="9" spans="1:25" ht="21.75" customHeight="1" x14ac:dyDescent="0.25">
      <c r="A9" s="121" t="s">
        <v>48</v>
      </c>
      <c r="B9" s="122"/>
      <c r="C9" s="122"/>
      <c r="D9" s="122"/>
      <c r="E9" s="122"/>
      <c r="F9" s="122"/>
      <c r="G9" s="83">
        <v>3.5</v>
      </c>
      <c r="H9" s="84">
        <v>0.3</v>
      </c>
      <c r="I9" s="83">
        <v>4.7699999999999996</v>
      </c>
      <c r="J9" s="83">
        <v>9.19</v>
      </c>
      <c r="K9" s="83">
        <v>3.83</v>
      </c>
      <c r="L9" s="83">
        <v>4.55</v>
      </c>
      <c r="M9" s="83">
        <v>2.67</v>
      </c>
      <c r="N9" s="84">
        <v>2.9</v>
      </c>
      <c r="O9" s="83">
        <v>2.09</v>
      </c>
      <c r="P9" s="83">
        <v>3.25</v>
      </c>
      <c r="Q9" s="83">
        <v>3.55</v>
      </c>
      <c r="R9" s="101">
        <f>SUM(G9:Q9)</f>
        <v>40.599999999999994</v>
      </c>
      <c r="S9" s="55"/>
      <c r="T9" s="41"/>
      <c r="U9" s="41"/>
      <c r="V9" s="46"/>
    </row>
    <row r="10" spans="1:25" ht="21.75" customHeight="1" thickBot="1" x14ac:dyDescent="0.3">
      <c r="A10" s="172" t="s">
        <v>73</v>
      </c>
      <c r="B10" s="173"/>
      <c r="C10" s="173"/>
      <c r="D10" s="173"/>
      <c r="E10" s="173"/>
      <c r="F10" s="173"/>
      <c r="G10" s="102">
        <v>3.5</v>
      </c>
      <c r="H10" s="103">
        <v>0.3</v>
      </c>
      <c r="I10" s="102">
        <v>4.7699999999999996</v>
      </c>
      <c r="J10" s="102">
        <v>9.19</v>
      </c>
      <c r="K10" s="102">
        <v>3.83</v>
      </c>
      <c r="L10" s="103">
        <v>4.9000000000000004</v>
      </c>
      <c r="M10" s="102">
        <v>2.67</v>
      </c>
      <c r="N10" s="103">
        <v>2.9</v>
      </c>
      <c r="O10" s="102">
        <v>2.09</v>
      </c>
      <c r="P10" s="102">
        <v>3.25</v>
      </c>
      <c r="Q10" s="102">
        <v>5.12</v>
      </c>
      <c r="R10" s="104">
        <f>SUM(G10:Q10)</f>
        <v>42.519999999999989</v>
      </c>
      <c r="S10" s="55"/>
      <c r="T10" s="41"/>
      <c r="U10" s="41"/>
      <c r="V10" s="46"/>
    </row>
    <row r="11" spans="1:25" ht="21" customHeight="1" x14ac:dyDescent="0.25">
      <c r="A11" s="88" t="s">
        <v>27</v>
      </c>
      <c r="B11" s="89">
        <v>1</v>
      </c>
      <c r="C11" s="15">
        <v>9</v>
      </c>
      <c r="D11" s="16">
        <v>2093.4</v>
      </c>
      <c r="E11" s="16">
        <v>464.1</v>
      </c>
      <c r="F11" s="16">
        <f>D11+E11</f>
        <v>2557.5</v>
      </c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27"/>
      <c r="S11" s="49"/>
      <c r="T11" s="37"/>
      <c r="U11" s="37"/>
      <c r="V11" s="38"/>
    </row>
    <row r="12" spans="1:25" s="3" customFormat="1" ht="21" hidden="1" customHeight="1" x14ac:dyDescent="0.25">
      <c r="A12" s="123" t="s">
        <v>43</v>
      </c>
      <c r="B12" s="124"/>
      <c r="C12" s="124"/>
      <c r="D12" s="124"/>
      <c r="E12" s="124"/>
      <c r="F12" s="124"/>
      <c r="G12" s="11">
        <f>$F$11*G8</f>
        <v>0</v>
      </c>
      <c r="H12" s="11">
        <f>$F$11*H8</f>
        <v>0</v>
      </c>
      <c r="I12" s="11">
        <f>$F$11*I8</f>
        <v>0</v>
      </c>
      <c r="J12" s="11">
        <f t="shared" ref="J12:K12" si="0">$F$11*J8</f>
        <v>0</v>
      </c>
      <c r="K12" s="11">
        <f t="shared" si="0"/>
        <v>0</v>
      </c>
      <c r="L12" s="11">
        <f t="shared" ref="L12:Q12" si="1">$F$11*L8</f>
        <v>0</v>
      </c>
      <c r="M12" s="11">
        <f t="shared" si="1"/>
        <v>0</v>
      </c>
      <c r="N12" s="11">
        <f t="shared" si="1"/>
        <v>0</v>
      </c>
      <c r="O12" s="11">
        <f t="shared" si="1"/>
        <v>0</v>
      </c>
      <c r="P12" s="11">
        <f t="shared" si="1"/>
        <v>0</v>
      </c>
      <c r="Q12" s="11">
        <f t="shared" si="1"/>
        <v>0</v>
      </c>
      <c r="R12" s="61">
        <f>$F$11*R8</f>
        <v>0</v>
      </c>
      <c r="S12" s="50"/>
      <c r="T12" s="37"/>
      <c r="U12" s="37"/>
      <c r="V12" s="38"/>
    </row>
    <row r="13" spans="1:25" s="3" customFormat="1" ht="21" hidden="1" customHeight="1" x14ac:dyDescent="0.25">
      <c r="A13" s="123" t="s">
        <v>42</v>
      </c>
      <c r="B13" s="124"/>
      <c r="C13" s="124"/>
      <c r="D13" s="124"/>
      <c r="E13" s="124"/>
      <c r="F13" s="124"/>
      <c r="G13" s="11">
        <f>$F$11*G9</f>
        <v>8951.25</v>
      </c>
      <c r="H13" s="11">
        <f>$F$11*H9</f>
        <v>767.25</v>
      </c>
      <c r="I13" s="11">
        <f t="shared" ref="I13:O13" si="2">$F$11*I9</f>
        <v>12199.275</v>
      </c>
      <c r="J13" s="11">
        <f t="shared" si="2"/>
        <v>23503.424999999999</v>
      </c>
      <c r="K13" s="11">
        <f t="shared" si="2"/>
        <v>9795.2250000000004</v>
      </c>
      <c r="L13" s="11">
        <f>$F$11*L9</f>
        <v>11636.625</v>
      </c>
      <c r="M13" s="11">
        <f t="shared" si="2"/>
        <v>6828.5249999999996</v>
      </c>
      <c r="N13" s="11">
        <f t="shared" si="2"/>
        <v>7416.75</v>
      </c>
      <c r="O13" s="11">
        <f t="shared" si="2"/>
        <v>5345.1749999999993</v>
      </c>
      <c r="P13" s="11">
        <f t="shared" ref="P13:Q13" si="3">$F$11*P9</f>
        <v>8311.875</v>
      </c>
      <c r="Q13" s="11">
        <f t="shared" si="3"/>
        <v>9079.125</v>
      </c>
      <c r="R13" s="61">
        <f>$F$11*R9</f>
        <v>103834.49999999999</v>
      </c>
      <c r="S13" s="50"/>
      <c r="T13" s="37"/>
      <c r="U13" s="37"/>
      <c r="V13" s="38"/>
    </row>
    <row r="14" spans="1:25" s="3" customFormat="1" ht="21" customHeight="1" x14ac:dyDescent="0.25">
      <c r="A14" s="123" t="s">
        <v>49</v>
      </c>
      <c r="B14" s="124"/>
      <c r="C14" s="124"/>
      <c r="D14" s="124"/>
      <c r="E14" s="124"/>
      <c r="F14" s="124"/>
      <c r="G14" s="11">
        <f>$F$11*G9</f>
        <v>8951.25</v>
      </c>
      <c r="H14" s="11">
        <f t="shared" ref="H14:Q14" si="4">$F$11*H9</f>
        <v>767.25</v>
      </c>
      <c r="I14" s="11">
        <f t="shared" si="4"/>
        <v>12199.275</v>
      </c>
      <c r="J14" s="11">
        <f t="shared" si="4"/>
        <v>23503.424999999999</v>
      </c>
      <c r="K14" s="11">
        <f t="shared" si="4"/>
        <v>9795.2250000000004</v>
      </c>
      <c r="L14" s="11">
        <f t="shared" si="4"/>
        <v>11636.625</v>
      </c>
      <c r="M14" s="11">
        <f t="shared" si="4"/>
        <v>6828.5249999999996</v>
      </c>
      <c r="N14" s="11">
        <f t="shared" si="4"/>
        <v>7416.75</v>
      </c>
      <c r="O14" s="11">
        <f t="shared" si="4"/>
        <v>5345.1749999999993</v>
      </c>
      <c r="P14" s="11">
        <f t="shared" si="4"/>
        <v>8311.875</v>
      </c>
      <c r="Q14" s="11">
        <f t="shared" si="4"/>
        <v>9079.125</v>
      </c>
      <c r="R14" s="61">
        <f>$F$11*R9</f>
        <v>103834.49999999999</v>
      </c>
      <c r="S14" s="50"/>
      <c r="T14" s="37"/>
      <c r="U14" s="37"/>
      <c r="V14" s="38"/>
    </row>
    <row r="15" spans="1:25" s="3" customFormat="1" ht="21" customHeight="1" x14ac:dyDescent="0.25">
      <c r="A15" s="123" t="s">
        <v>76</v>
      </c>
      <c r="B15" s="124"/>
      <c r="C15" s="124"/>
      <c r="D15" s="124"/>
      <c r="E15" s="124"/>
      <c r="F15" s="124"/>
      <c r="G15" s="11">
        <f>$F$11*G10</f>
        <v>8951.25</v>
      </c>
      <c r="H15" s="11">
        <f>$F$11*H10</f>
        <v>767.25</v>
      </c>
      <c r="I15" s="11">
        <f t="shared" ref="I15:R15" si="5">$F$11*I10</f>
        <v>12199.275</v>
      </c>
      <c r="J15" s="11">
        <f t="shared" si="5"/>
        <v>23503.424999999999</v>
      </c>
      <c r="K15" s="11">
        <f t="shared" si="5"/>
        <v>9795.2250000000004</v>
      </c>
      <c r="L15" s="11">
        <f>$F$11*L10</f>
        <v>12531.75</v>
      </c>
      <c r="M15" s="11">
        <f t="shared" si="5"/>
        <v>6828.5249999999996</v>
      </c>
      <c r="N15" s="11">
        <f t="shared" si="5"/>
        <v>7416.75</v>
      </c>
      <c r="O15" s="11">
        <f t="shared" si="5"/>
        <v>5345.1749999999993</v>
      </c>
      <c r="P15" s="11">
        <f t="shared" si="5"/>
        <v>8311.875</v>
      </c>
      <c r="Q15" s="11">
        <f t="shared" si="5"/>
        <v>13094.4</v>
      </c>
      <c r="R15" s="61">
        <f t="shared" si="5"/>
        <v>108744.89999999997</v>
      </c>
      <c r="S15" s="50"/>
      <c r="T15" s="37"/>
      <c r="U15" s="37"/>
      <c r="V15" s="38"/>
    </row>
    <row r="16" spans="1:25" s="8" customFormat="1" ht="21" customHeight="1" x14ac:dyDescent="0.25">
      <c r="A16" s="125" t="s">
        <v>19</v>
      </c>
      <c r="B16" s="126"/>
      <c r="C16" s="126"/>
      <c r="D16" s="126"/>
      <c r="E16" s="126"/>
      <c r="F16" s="126"/>
      <c r="G16" s="10">
        <f>G14*6+G15*6</f>
        <v>107415</v>
      </c>
      <c r="H16" s="10">
        <f t="shared" ref="H16:R16" si="6">H14*6+H15*6</f>
        <v>9207</v>
      </c>
      <c r="I16" s="10">
        <f t="shared" si="6"/>
        <v>146391.29999999999</v>
      </c>
      <c r="J16" s="10">
        <f t="shared" si="6"/>
        <v>282041.09999999998</v>
      </c>
      <c r="K16" s="10">
        <f t="shared" si="6"/>
        <v>117542.70000000001</v>
      </c>
      <c r="L16" s="10">
        <f t="shared" si="6"/>
        <v>145010.25</v>
      </c>
      <c r="M16" s="10">
        <f t="shared" si="6"/>
        <v>81942.299999999988</v>
      </c>
      <c r="N16" s="10">
        <f t="shared" si="6"/>
        <v>89001</v>
      </c>
      <c r="O16" s="10">
        <f t="shared" si="6"/>
        <v>64142.099999999991</v>
      </c>
      <c r="P16" s="10">
        <f t="shared" si="6"/>
        <v>99742.5</v>
      </c>
      <c r="Q16" s="10">
        <f t="shared" si="6"/>
        <v>133041.15</v>
      </c>
      <c r="R16" s="10">
        <f t="shared" si="6"/>
        <v>1275476.3999999997</v>
      </c>
      <c r="S16" s="51"/>
      <c r="T16" s="38"/>
      <c r="U16" s="38"/>
      <c r="V16" s="38"/>
    </row>
    <row r="17" spans="1:24" x14ac:dyDescent="0.25">
      <c r="A17" s="127" t="s">
        <v>74</v>
      </c>
      <c r="B17" s="128"/>
      <c r="C17" s="128"/>
      <c r="D17" s="128"/>
      <c r="E17" s="128"/>
      <c r="F17" s="128"/>
      <c r="G17" s="20">
        <f>G16</f>
        <v>107415</v>
      </c>
      <c r="H17" s="20">
        <f t="shared" ref="H17:K17" si="7">H16</f>
        <v>9207</v>
      </c>
      <c r="I17" s="20">
        <f t="shared" si="7"/>
        <v>146391.29999999999</v>
      </c>
      <c r="J17" s="20">
        <f t="shared" si="7"/>
        <v>282041.09999999998</v>
      </c>
      <c r="K17" s="20">
        <f t="shared" si="7"/>
        <v>117542.70000000001</v>
      </c>
      <c r="L17" s="20">
        <f>L16</f>
        <v>145010.25</v>
      </c>
      <c r="M17" s="20">
        <f>M16</f>
        <v>81942.299999999988</v>
      </c>
      <c r="N17" s="20">
        <f t="shared" ref="N17:Q17" si="8">N16</f>
        <v>89001</v>
      </c>
      <c r="O17" s="20">
        <f t="shared" si="8"/>
        <v>64142.099999999991</v>
      </c>
      <c r="P17" s="20">
        <f>P16</f>
        <v>99742.5</v>
      </c>
      <c r="Q17" s="20">
        <f t="shared" si="8"/>
        <v>133041.15</v>
      </c>
      <c r="R17" s="106">
        <f>R16</f>
        <v>1275476.3999999997</v>
      </c>
      <c r="S17" s="49"/>
      <c r="T17" s="37">
        <f>343581.96+444011.16</f>
        <v>787593.12</v>
      </c>
      <c r="U17" s="37">
        <f>34352.62+44590.02</f>
        <v>78942.64</v>
      </c>
      <c r="V17" s="38"/>
    </row>
    <row r="18" spans="1:24" x14ac:dyDescent="0.25">
      <c r="A18" s="127" t="s">
        <v>75</v>
      </c>
      <c r="B18" s="128"/>
      <c r="C18" s="128"/>
      <c r="D18" s="128"/>
      <c r="E18" s="128"/>
      <c r="F18" s="128"/>
      <c r="G18" s="21">
        <f>$R18/$R17*G17</f>
        <v>107415</v>
      </c>
      <c r="H18" s="21">
        <f>$R18/$R17*H17</f>
        <v>9207</v>
      </c>
      <c r="I18" s="21">
        <f t="shared" ref="I18:J18" si="9">$R18/$R17*I17</f>
        <v>146391.29999999999</v>
      </c>
      <c r="J18" s="21">
        <f t="shared" si="9"/>
        <v>282041.09999999998</v>
      </c>
      <c r="K18" s="21">
        <f t="shared" ref="K18" si="10">$R18/$R17*K17</f>
        <v>117542.70000000001</v>
      </c>
      <c r="L18" s="21">
        <f t="shared" ref="L18:Q18" si="11">$R18/$R17*L17</f>
        <v>145010.25</v>
      </c>
      <c r="M18" s="21">
        <f>$R18/$R17*M17</f>
        <v>81942.299999999988</v>
      </c>
      <c r="N18" s="21">
        <f t="shared" si="11"/>
        <v>89001</v>
      </c>
      <c r="O18" s="21">
        <f t="shared" si="11"/>
        <v>64142.099999999991</v>
      </c>
      <c r="P18" s="21">
        <f t="shared" ref="P18" si="12">$R18/$R17*P17</f>
        <v>99742.5</v>
      </c>
      <c r="Q18" s="21">
        <f t="shared" si="11"/>
        <v>133041.15</v>
      </c>
      <c r="R18" s="107">
        <f>R17-R19</f>
        <v>1275476.3999999997</v>
      </c>
      <c r="S18" s="49">
        <f>R18/R17*100</f>
        <v>100</v>
      </c>
      <c r="T18" s="37">
        <v>410442.14</v>
      </c>
      <c r="U18" s="37">
        <v>41219.43</v>
      </c>
      <c r="V18" s="38"/>
    </row>
    <row r="19" spans="1:24" ht="18.75" customHeight="1" x14ac:dyDescent="0.25">
      <c r="A19" s="121" t="s">
        <v>18</v>
      </c>
      <c r="B19" s="122"/>
      <c r="C19" s="122"/>
      <c r="D19" s="122"/>
      <c r="E19" s="122"/>
      <c r="F19" s="122"/>
      <c r="G19" s="21">
        <f>$R19/$R17*G17</f>
        <v>0</v>
      </c>
      <c r="H19" s="21">
        <f t="shared" ref="H19:Q19" si="13">$R19/$R17*H17</f>
        <v>0</v>
      </c>
      <c r="I19" s="21">
        <f t="shared" si="13"/>
        <v>0</v>
      </c>
      <c r="J19" s="21">
        <f t="shared" si="13"/>
        <v>0</v>
      </c>
      <c r="K19" s="21">
        <f t="shared" si="13"/>
        <v>0</v>
      </c>
      <c r="L19" s="21">
        <f t="shared" si="13"/>
        <v>0</v>
      </c>
      <c r="M19" s="21">
        <f t="shared" si="13"/>
        <v>0</v>
      </c>
      <c r="N19" s="21">
        <f t="shared" si="13"/>
        <v>0</v>
      </c>
      <c r="O19" s="21">
        <f t="shared" si="13"/>
        <v>0</v>
      </c>
      <c r="P19" s="21">
        <f t="shared" si="13"/>
        <v>0</v>
      </c>
      <c r="Q19" s="21">
        <f t="shared" si="13"/>
        <v>0</v>
      </c>
      <c r="R19" s="108"/>
      <c r="S19" s="49"/>
      <c r="T19" s="37">
        <f>T17-T18</f>
        <v>377150.98</v>
      </c>
      <c r="U19" s="37">
        <f>U17-U18</f>
        <v>37723.21</v>
      </c>
      <c r="V19" s="38">
        <f>T19+U19</f>
        <v>414874.19</v>
      </c>
      <c r="X19" s="80"/>
    </row>
    <row r="20" spans="1:24" x14ac:dyDescent="0.25">
      <c r="A20" s="132" t="s">
        <v>17</v>
      </c>
      <c r="B20" s="133"/>
      <c r="C20" s="133"/>
      <c r="D20" s="133"/>
      <c r="E20" s="133"/>
      <c r="F20" s="133"/>
      <c r="G20" s="9"/>
      <c r="H20" s="9"/>
      <c r="I20" s="9"/>
      <c r="J20" s="9"/>
      <c r="K20" s="9"/>
      <c r="L20" s="10">
        <f>L21+L22+L23+L24+L25+L26+L27</f>
        <v>225.40799999999999</v>
      </c>
      <c r="M20" s="9"/>
      <c r="N20" s="9"/>
      <c r="O20" s="9"/>
      <c r="P20" s="9"/>
      <c r="Q20" s="9"/>
      <c r="R20" s="62"/>
      <c r="S20" s="49"/>
      <c r="T20" s="37"/>
      <c r="U20" s="37"/>
      <c r="V20" s="38"/>
    </row>
    <row r="21" spans="1:24" ht="19.5" customHeight="1" x14ac:dyDescent="0.25">
      <c r="A21" s="149" t="s">
        <v>50</v>
      </c>
      <c r="B21" s="150"/>
      <c r="C21" s="150"/>
      <c r="D21" s="150"/>
      <c r="E21" s="150"/>
      <c r="F21" s="150"/>
      <c r="G21" s="9"/>
      <c r="H21" s="9"/>
      <c r="I21" s="9"/>
      <c r="J21" s="9"/>
      <c r="K21" s="9"/>
      <c r="L21" s="110">
        <f>1127.04/5</f>
        <v>225.40799999999999</v>
      </c>
      <c r="M21" s="9"/>
      <c r="N21" s="9"/>
      <c r="O21" s="9"/>
      <c r="P21" s="9"/>
      <c r="Q21" s="9"/>
      <c r="R21" s="62"/>
      <c r="S21" s="54"/>
      <c r="T21" s="42"/>
      <c r="U21" s="42"/>
      <c r="V21" s="47"/>
    </row>
    <row r="22" spans="1:24" ht="40.5" customHeight="1" x14ac:dyDescent="0.25">
      <c r="A22" s="149"/>
      <c r="B22" s="150"/>
      <c r="C22" s="150"/>
      <c r="D22" s="150"/>
      <c r="E22" s="150"/>
      <c r="F22" s="150"/>
      <c r="G22" s="9"/>
      <c r="H22" s="9"/>
      <c r="I22" s="9"/>
      <c r="J22" s="9"/>
      <c r="K22" s="9"/>
      <c r="L22" s="17"/>
      <c r="M22" s="9"/>
      <c r="N22" s="9"/>
      <c r="O22" s="9"/>
      <c r="P22" s="9"/>
      <c r="Q22" s="9"/>
      <c r="R22" s="62"/>
      <c r="S22" s="54"/>
      <c r="T22" s="42"/>
      <c r="U22" s="42"/>
      <c r="V22" s="47"/>
    </row>
    <row r="23" spans="1:24" ht="21" customHeight="1" x14ac:dyDescent="0.25">
      <c r="A23" s="149"/>
      <c r="B23" s="150"/>
      <c r="C23" s="150"/>
      <c r="D23" s="150"/>
      <c r="E23" s="150"/>
      <c r="F23" s="150"/>
      <c r="G23" s="9"/>
      <c r="H23" s="9"/>
      <c r="I23" s="9"/>
      <c r="J23" s="9"/>
      <c r="K23" s="9"/>
      <c r="L23" s="17"/>
      <c r="M23" s="9"/>
      <c r="N23" s="9"/>
      <c r="O23" s="9"/>
      <c r="P23" s="9"/>
      <c r="Q23" s="9"/>
      <c r="R23" s="62"/>
      <c r="S23" s="54"/>
      <c r="T23" s="42"/>
      <c r="U23" s="42"/>
      <c r="V23" s="47"/>
    </row>
    <row r="24" spans="1:24" ht="21" customHeight="1" x14ac:dyDescent="0.25">
      <c r="A24" s="149"/>
      <c r="B24" s="150"/>
      <c r="C24" s="150"/>
      <c r="D24" s="150"/>
      <c r="E24" s="150"/>
      <c r="F24" s="150"/>
      <c r="G24" s="9"/>
      <c r="H24" s="9"/>
      <c r="I24" s="9"/>
      <c r="J24" s="9"/>
      <c r="K24" s="9"/>
      <c r="L24" s="17"/>
      <c r="M24" s="9"/>
      <c r="N24" s="9"/>
      <c r="O24" s="9"/>
      <c r="P24" s="9"/>
      <c r="Q24" s="9"/>
      <c r="R24" s="62"/>
      <c r="S24" s="54"/>
      <c r="T24" s="42"/>
      <c r="U24" s="42"/>
      <c r="V24" s="47"/>
    </row>
    <row r="25" spans="1:24" ht="45.75" customHeight="1" x14ac:dyDescent="0.25">
      <c r="A25" s="149"/>
      <c r="B25" s="150"/>
      <c r="C25" s="150"/>
      <c r="D25" s="150"/>
      <c r="E25" s="150"/>
      <c r="F25" s="150"/>
      <c r="G25" s="9"/>
      <c r="H25" s="9"/>
      <c r="I25" s="9"/>
      <c r="J25" s="9"/>
      <c r="K25" s="9"/>
      <c r="L25" s="17"/>
      <c r="M25" s="9"/>
      <c r="N25" s="9"/>
      <c r="O25" s="9"/>
      <c r="P25" s="9"/>
      <c r="Q25" s="9"/>
      <c r="R25" s="62"/>
      <c r="S25" s="54"/>
      <c r="T25" s="42"/>
      <c r="U25" s="42"/>
      <c r="V25" s="47"/>
    </row>
    <row r="26" spans="1:24" ht="22.5" customHeight="1" x14ac:dyDescent="0.25">
      <c r="A26" s="149"/>
      <c r="B26" s="150"/>
      <c r="C26" s="150"/>
      <c r="D26" s="150"/>
      <c r="E26" s="150"/>
      <c r="F26" s="150"/>
      <c r="G26" s="9"/>
      <c r="H26" s="9"/>
      <c r="I26" s="9"/>
      <c r="J26" s="9"/>
      <c r="K26" s="9"/>
      <c r="L26" s="17"/>
      <c r="M26" s="9"/>
      <c r="N26" s="9"/>
      <c r="O26" s="9"/>
      <c r="P26" s="9"/>
      <c r="Q26" s="9"/>
      <c r="R26" s="62"/>
      <c r="S26" s="54"/>
      <c r="T26" s="42"/>
      <c r="U26" s="42"/>
      <c r="V26" s="47"/>
    </row>
    <row r="27" spans="1:24" ht="22.5" customHeight="1" x14ac:dyDescent="0.25">
      <c r="A27" s="149"/>
      <c r="B27" s="150"/>
      <c r="C27" s="150"/>
      <c r="D27" s="150"/>
      <c r="E27" s="150"/>
      <c r="F27" s="150"/>
      <c r="G27" s="9"/>
      <c r="H27" s="9"/>
      <c r="I27" s="9"/>
      <c r="J27" s="9"/>
      <c r="K27" s="9"/>
      <c r="L27" s="17"/>
      <c r="M27" s="9"/>
      <c r="N27" s="9"/>
      <c r="O27" s="9"/>
      <c r="P27" s="9"/>
      <c r="Q27" s="9"/>
      <c r="R27" s="62"/>
      <c r="S27" s="54"/>
      <c r="T27" s="42"/>
      <c r="U27" s="42"/>
      <c r="V27" s="47"/>
    </row>
    <row r="28" spans="1:24" ht="15.75" thickBot="1" x14ac:dyDescent="0.3">
      <c r="A28" s="136" t="s">
        <v>20</v>
      </c>
      <c r="B28" s="137"/>
      <c r="C28" s="137"/>
      <c r="D28" s="137"/>
      <c r="E28" s="137"/>
      <c r="F28" s="137"/>
      <c r="G28" s="14"/>
      <c r="H28" s="14"/>
      <c r="I28" s="14"/>
      <c r="J28" s="14"/>
      <c r="K28" s="14"/>
      <c r="L28" s="26">
        <f>L18-L20</f>
        <v>144784.842</v>
      </c>
      <c r="M28" s="14"/>
      <c r="N28" s="14"/>
      <c r="O28" s="14"/>
      <c r="P28" s="14"/>
      <c r="Q28" s="14"/>
      <c r="R28" s="63"/>
      <c r="S28" s="52"/>
      <c r="T28" s="39"/>
      <c r="U28" s="39"/>
      <c r="V28" s="45"/>
    </row>
    <row r="29" spans="1:24" s="8" customFormat="1" ht="15" customHeight="1" x14ac:dyDescent="0.25">
      <c r="A29" s="86" t="s">
        <v>27</v>
      </c>
      <c r="B29" s="87" t="s">
        <v>28</v>
      </c>
      <c r="C29" s="81">
        <v>9</v>
      </c>
      <c r="D29" s="82">
        <v>2329.4</v>
      </c>
      <c r="E29" s="82"/>
      <c r="F29" s="82">
        <f t="shared" ref="F29:F165" si="14">D29+E29</f>
        <v>2329.4</v>
      </c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65"/>
      <c r="S29" s="53"/>
      <c r="T29" s="40"/>
      <c r="U29" s="40"/>
      <c r="V29" s="40"/>
    </row>
    <row r="30" spans="1:24" s="3" customFormat="1" ht="21" hidden="1" customHeight="1" x14ac:dyDescent="0.25">
      <c r="A30" s="123" t="s">
        <v>43</v>
      </c>
      <c r="B30" s="124"/>
      <c r="C30" s="124"/>
      <c r="D30" s="124"/>
      <c r="E30" s="124"/>
      <c r="F30" s="124"/>
      <c r="G30" s="11">
        <f t="shared" ref="G30:Q30" si="15">$F$29*G$8</f>
        <v>0</v>
      </c>
      <c r="H30" s="11">
        <f t="shared" si="15"/>
        <v>0</v>
      </c>
      <c r="I30" s="11">
        <f t="shared" si="15"/>
        <v>0</v>
      </c>
      <c r="J30" s="11">
        <f t="shared" si="15"/>
        <v>0</v>
      </c>
      <c r="K30" s="11">
        <f t="shared" si="15"/>
        <v>0</v>
      </c>
      <c r="L30" s="11">
        <f>$F$29*L$8</f>
        <v>0</v>
      </c>
      <c r="M30" s="11">
        <f t="shared" si="15"/>
        <v>0</v>
      </c>
      <c r="N30" s="11">
        <f t="shared" si="15"/>
        <v>0</v>
      </c>
      <c r="O30" s="11">
        <f t="shared" si="15"/>
        <v>0</v>
      </c>
      <c r="P30" s="11">
        <f t="shared" si="15"/>
        <v>0</v>
      </c>
      <c r="Q30" s="11">
        <f t="shared" si="15"/>
        <v>0</v>
      </c>
      <c r="R30" s="61">
        <f>$F$29*R$8</f>
        <v>0</v>
      </c>
      <c r="S30" s="50"/>
      <c r="T30" s="37"/>
      <c r="U30" s="37"/>
      <c r="V30" s="38"/>
    </row>
    <row r="31" spans="1:24" s="3" customFormat="1" ht="21" customHeight="1" x14ac:dyDescent="0.25">
      <c r="A31" s="123" t="s">
        <v>49</v>
      </c>
      <c r="B31" s="124"/>
      <c r="C31" s="124"/>
      <c r="D31" s="124"/>
      <c r="E31" s="124"/>
      <c r="F31" s="124"/>
      <c r="G31" s="11">
        <f>$F$29*G$9</f>
        <v>8152.9000000000005</v>
      </c>
      <c r="H31" s="11">
        <f t="shared" ref="H31:R31" si="16">$F$29*H$9</f>
        <v>698.82</v>
      </c>
      <c r="I31" s="11">
        <f t="shared" si="16"/>
        <v>11111.237999999999</v>
      </c>
      <c r="J31" s="11">
        <f t="shared" si="16"/>
        <v>21407.185999999998</v>
      </c>
      <c r="K31" s="11">
        <f t="shared" si="16"/>
        <v>8921.6020000000008</v>
      </c>
      <c r="L31" s="11">
        <f t="shared" si="16"/>
        <v>10598.77</v>
      </c>
      <c r="M31" s="11">
        <f t="shared" si="16"/>
        <v>6219.4980000000005</v>
      </c>
      <c r="N31" s="11">
        <f t="shared" si="16"/>
        <v>6755.26</v>
      </c>
      <c r="O31" s="11">
        <f t="shared" si="16"/>
        <v>4868.4459999999999</v>
      </c>
      <c r="P31" s="11">
        <f t="shared" si="16"/>
        <v>7570.55</v>
      </c>
      <c r="Q31" s="11">
        <f t="shared" si="16"/>
        <v>8269.3700000000008</v>
      </c>
      <c r="R31" s="11">
        <f t="shared" si="16"/>
        <v>94573.639999999985</v>
      </c>
      <c r="S31" s="50"/>
      <c r="T31" s="37"/>
      <c r="U31" s="37"/>
      <c r="V31" s="38"/>
    </row>
    <row r="32" spans="1:24" s="3" customFormat="1" ht="21" customHeight="1" x14ac:dyDescent="0.25">
      <c r="A32" s="123" t="s">
        <v>76</v>
      </c>
      <c r="B32" s="124"/>
      <c r="C32" s="124"/>
      <c r="D32" s="124"/>
      <c r="E32" s="124"/>
      <c r="F32" s="124"/>
      <c r="G32" s="11">
        <f>$F$29*G$10</f>
        <v>8152.9000000000005</v>
      </c>
      <c r="H32" s="11">
        <f t="shared" ref="H32:R32" si="17">$F$29*H$10</f>
        <v>698.82</v>
      </c>
      <c r="I32" s="11">
        <f t="shared" si="17"/>
        <v>11111.237999999999</v>
      </c>
      <c r="J32" s="11">
        <f t="shared" si="17"/>
        <v>21407.185999999998</v>
      </c>
      <c r="K32" s="11">
        <f t="shared" si="17"/>
        <v>8921.6020000000008</v>
      </c>
      <c r="L32" s="11">
        <f t="shared" si="17"/>
        <v>11414.060000000001</v>
      </c>
      <c r="M32" s="11">
        <f t="shared" si="17"/>
        <v>6219.4980000000005</v>
      </c>
      <c r="N32" s="11">
        <f t="shared" si="17"/>
        <v>6755.26</v>
      </c>
      <c r="O32" s="11">
        <f t="shared" si="17"/>
        <v>4868.4459999999999</v>
      </c>
      <c r="P32" s="11">
        <f t="shared" si="17"/>
        <v>7570.55</v>
      </c>
      <c r="Q32" s="11">
        <f t="shared" si="17"/>
        <v>11926.528</v>
      </c>
      <c r="R32" s="11">
        <f t="shared" si="17"/>
        <v>99046.087999999974</v>
      </c>
      <c r="S32" s="50"/>
      <c r="T32" s="37"/>
      <c r="U32" s="37"/>
      <c r="V32" s="38"/>
    </row>
    <row r="33" spans="1:22" s="8" customFormat="1" ht="21" customHeight="1" x14ac:dyDescent="0.25">
      <c r="A33" s="125" t="s">
        <v>19</v>
      </c>
      <c r="B33" s="126"/>
      <c r="C33" s="126"/>
      <c r="D33" s="126"/>
      <c r="E33" s="126"/>
      <c r="F33" s="126"/>
      <c r="G33" s="10">
        <f>G31*6+G32*6</f>
        <v>97834.8</v>
      </c>
      <c r="H33" s="10">
        <f t="shared" ref="H33:R33" si="18">H31*6+H32*6</f>
        <v>8385.84</v>
      </c>
      <c r="I33" s="10">
        <f t="shared" si="18"/>
        <v>133334.856</v>
      </c>
      <c r="J33" s="10">
        <f t="shared" si="18"/>
        <v>256886.23199999996</v>
      </c>
      <c r="K33" s="10">
        <f t="shared" si="18"/>
        <v>107059.22400000002</v>
      </c>
      <c r="L33" s="10">
        <f t="shared" si="18"/>
        <v>132076.98000000001</v>
      </c>
      <c r="M33" s="10">
        <f t="shared" si="18"/>
        <v>74633.97600000001</v>
      </c>
      <c r="N33" s="10">
        <f t="shared" si="18"/>
        <v>81063.12</v>
      </c>
      <c r="O33" s="10">
        <f t="shared" si="18"/>
        <v>58421.351999999999</v>
      </c>
      <c r="P33" s="10">
        <f t="shared" si="18"/>
        <v>90846.6</v>
      </c>
      <c r="Q33" s="10">
        <f t="shared" si="18"/>
        <v>121175.38800000001</v>
      </c>
      <c r="R33" s="10">
        <f t="shared" si="18"/>
        <v>1161718.3679999998</v>
      </c>
      <c r="S33" s="51"/>
      <c r="T33" s="38"/>
      <c r="U33" s="38"/>
      <c r="V33" s="38"/>
    </row>
    <row r="34" spans="1:22" ht="15" customHeight="1" x14ac:dyDescent="0.25">
      <c r="A34" s="127" t="s">
        <v>74</v>
      </c>
      <c r="B34" s="128"/>
      <c r="C34" s="128"/>
      <c r="D34" s="128"/>
      <c r="E34" s="128"/>
      <c r="F34" s="128"/>
      <c r="G34" s="20">
        <f>G33</f>
        <v>97834.8</v>
      </c>
      <c r="H34" s="20">
        <f t="shared" ref="H34:R34" si="19">H33</f>
        <v>8385.84</v>
      </c>
      <c r="I34" s="20">
        <f t="shared" si="19"/>
        <v>133334.856</v>
      </c>
      <c r="J34" s="20">
        <f t="shared" si="19"/>
        <v>256886.23199999996</v>
      </c>
      <c r="K34" s="20">
        <f t="shared" si="19"/>
        <v>107059.22400000002</v>
      </c>
      <c r="L34" s="20">
        <f t="shared" si="19"/>
        <v>132076.98000000001</v>
      </c>
      <c r="M34" s="20">
        <f t="shared" si="19"/>
        <v>74633.97600000001</v>
      </c>
      <c r="N34" s="20">
        <f t="shared" si="19"/>
        <v>81063.12</v>
      </c>
      <c r="O34" s="20">
        <f t="shared" si="19"/>
        <v>58421.351999999999</v>
      </c>
      <c r="P34" s="20">
        <f t="shared" si="19"/>
        <v>90846.6</v>
      </c>
      <c r="Q34" s="20">
        <f t="shared" si="19"/>
        <v>121175.38800000001</v>
      </c>
      <c r="R34" s="106">
        <f t="shared" si="19"/>
        <v>1161718.3679999998</v>
      </c>
      <c r="S34" s="49"/>
      <c r="T34" s="37">
        <f>343946.81+494067.42</f>
        <v>838014.23</v>
      </c>
      <c r="U34" s="37">
        <f>31999.81+49617.06</f>
        <v>81616.87</v>
      </c>
      <c r="V34" s="38"/>
    </row>
    <row r="35" spans="1:22" ht="15" customHeight="1" x14ac:dyDescent="0.25">
      <c r="A35" s="127" t="s">
        <v>75</v>
      </c>
      <c r="B35" s="128"/>
      <c r="C35" s="128"/>
      <c r="D35" s="128"/>
      <c r="E35" s="128"/>
      <c r="F35" s="128"/>
      <c r="G35" s="21">
        <f>$R35/$R34*G34</f>
        <v>97834.8</v>
      </c>
      <c r="H35" s="21">
        <f t="shared" ref="H35:K35" si="20">$R35/$R34*H34</f>
        <v>8385.84</v>
      </c>
      <c r="I35" s="21">
        <f t="shared" si="20"/>
        <v>133334.856</v>
      </c>
      <c r="J35" s="21">
        <f t="shared" si="20"/>
        <v>256886.23199999996</v>
      </c>
      <c r="K35" s="21">
        <f t="shared" si="20"/>
        <v>107059.22400000002</v>
      </c>
      <c r="L35" s="21">
        <f t="shared" ref="L35" si="21">$R35/$R34*L34</f>
        <v>132076.98000000001</v>
      </c>
      <c r="M35" s="21">
        <f t="shared" ref="M35" si="22">$R35/$R34*M34</f>
        <v>74633.97600000001</v>
      </c>
      <c r="N35" s="21">
        <f t="shared" ref="N35" si="23">$R35/$R34*N34</f>
        <v>81063.12</v>
      </c>
      <c r="O35" s="21">
        <f t="shared" ref="O35:P35" si="24">$R35/$R34*O34</f>
        <v>58421.351999999999</v>
      </c>
      <c r="P35" s="21">
        <f t="shared" si="24"/>
        <v>90846.6</v>
      </c>
      <c r="Q35" s="21">
        <f t="shared" ref="Q35" si="25">$R35/$R34*Q34</f>
        <v>121175.38800000001</v>
      </c>
      <c r="R35" s="107">
        <f>R34-R36</f>
        <v>1161718.3679999998</v>
      </c>
      <c r="S35" s="49">
        <f>R35/R34*100</f>
        <v>100</v>
      </c>
      <c r="T35" s="37">
        <v>504551.41</v>
      </c>
      <c r="U35" s="37">
        <v>50542.8</v>
      </c>
      <c r="V35" s="38"/>
    </row>
    <row r="36" spans="1:22" ht="18.75" customHeight="1" x14ac:dyDescent="0.25">
      <c r="A36" s="121" t="s">
        <v>18</v>
      </c>
      <c r="B36" s="122"/>
      <c r="C36" s="122"/>
      <c r="D36" s="122"/>
      <c r="E36" s="122"/>
      <c r="F36" s="122"/>
      <c r="G36" s="21">
        <f t="shared" ref="G36:J36" si="26">$R36/$R34*G34</f>
        <v>0</v>
      </c>
      <c r="H36" s="21">
        <f t="shared" si="26"/>
        <v>0</v>
      </c>
      <c r="I36" s="21">
        <f t="shared" si="26"/>
        <v>0</v>
      </c>
      <c r="J36" s="21">
        <f t="shared" si="26"/>
        <v>0</v>
      </c>
      <c r="K36" s="21">
        <f t="shared" ref="K36" si="27">$R36/$R34*K34</f>
        <v>0</v>
      </c>
      <c r="L36" s="21">
        <f t="shared" ref="L36:N36" si="28">$R36/$R34*L34</f>
        <v>0</v>
      </c>
      <c r="M36" s="21">
        <f t="shared" si="28"/>
        <v>0</v>
      </c>
      <c r="N36" s="21">
        <f t="shared" si="28"/>
        <v>0</v>
      </c>
      <c r="O36" s="21">
        <f>$R36/$R34*O34</f>
        <v>0</v>
      </c>
      <c r="P36" s="21">
        <f>$R36/$R34*P34</f>
        <v>0</v>
      </c>
      <c r="Q36" s="21">
        <f t="shared" ref="Q36" si="29">$R36/$R34*Q34</f>
        <v>0</v>
      </c>
      <c r="R36" s="108"/>
      <c r="S36" s="49"/>
      <c r="T36" s="37">
        <f>T34-T35</f>
        <v>333462.82</v>
      </c>
      <c r="U36" s="37">
        <f>U34-U35</f>
        <v>31074.069999999992</v>
      </c>
      <c r="V36" s="38">
        <f>T36+U36</f>
        <v>364536.89</v>
      </c>
    </row>
    <row r="37" spans="1:22" x14ac:dyDescent="0.25">
      <c r="A37" s="132" t="s">
        <v>17</v>
      </c>
      <c r="B37" s="133"/>
      <c r="C37" s="133"/>
      <c r="D37" s="133"/>
      <c r="E37" s="133"/>
      <c r="F37" s="133"/>
      <c r="G37" s="9"/>
      <c r="H37" s="9"/>
      <c r="I37" s="9"/>
      <c r="J37" s="9"/>
      <c r="K37" s="9"/>
      <c r="L37" s="10">
        <f>L38+L39+L40+L41+L42+L43+L44</f>
        <v>431590.408</v>
      </c>
      <c r="M37" s="9"/>
      <c r="N37" s="9"/>
      <c r="O37" s="9"/>
      <c r="P37" s="9"/>
      <c r="Q37" s="9"/>
      <c r="R37" s="62"/>
      <c r="S37" s="49"/>
      <c r="T37" s="37"/>
      <c r="U37" s="37"/>
      <c r="V37" s="38"/>
    </row>
    <row r="38" spans="1:22" ht="15.75" customHeight="1" x14ac:dyDescent="0.25">
      <c r="A38" s="118" t="s">
        <v>50</v>
      </c>
      <c r="B38" s="119"/>
      <c r="C38" s="119"/>
      <c r="D38" s="119"/>
      <c r="E38" s="119"/>
      <c r="F38" s="120"/>
      <c r="G38" s="23"/>
      <c r="H38" s="23"/>
      <c r="I38" s="23"/>
      <c r="J38" s="23"/>
      <c r="K38" s="23"/>
      <c r="L38" s="111">
        <f>1127.04/5</f>
        <v>225.40799999999999</v>
      </c>
      <c r="M38" s="9"/>
      <c r="N38" s="9"/>
      <c r="O38" s="9"/>
      <c r="P38" s="9"/>
      <c r="Q38" s="9"/>
      <c r="R38" s="62"/>
      <c r="S38" s="49"/>
      <c r="T38" s="37"/>
      <c r="U38" s="37"/>
      <c r="V38" s="38"/>
    </row>
    <row r="39" spans="1:22" ht="18" customHeight="1" x14ac:dyDescent="0.25">
      <c r="A39" s="118" t="s">
        <v>52</v>
      </c>
      <c r="B39" s="119"/>
      <c r="C39" s="119"/>
      <c r="D39" s="119"/>
      <c r="E39" s="119"/>
      <c r="F39" s="120"/>
      <c r="G39" s="23"/>
      <c r="H39" s="23"/>
      <c r="I39" s="23"/>
      <c r="J39" s="23"/>
      <c r="K39" s="23"/>
      <c r="L39" s="111">
        <v>232043</v>
      </c>
      <c r="M39" s="23"/>
      <c r="N39" s="23"/>
      <c r="O39" s="23"/>
      <c r="P39" s="23"/>
      <c r="Q39" s="23"/>
      <c r="R39" s="64"/>
      <c r="S39" s="54"/>
      <c r="T39" s="42"/>
      <c r="U39" s="42"/>
      <c r="V39" s="47"/>
    </row>
    <row r="40" spans="1:22" ht="21" customHeight="1" x14ac:dyDescent="0.25">
      <c r="A40" s="118" t="s">
        <v>91</v>
      </c>
      <c r="B40" s="119"/>
      <c r="C40" s="119"/>
      <c r="D40" s="119"/>
      <c r="E40" s="119"/>
      <c r="F40" s="120"/>
      <c r="G40" s="23"/>
      <c r="H40" s="23"/>
      <c r="I40" s="23"/>
      <c r="J40" s="23"/>
      <c r="K40" s="23"/>
      <c r="L40" s="115">
        <v>199322</v>
      </c>
      <c r="M40" s="23"/>
      <c r="N40" s="23"/>
      <c r="O40" s="23"/>
      <c r="P40" s="23"/>
      <c r="Q40" s="23"/>
      <c r="R40" s="64"/>
      <c r="S40" s="54"/>
      <c r="T40" s="42"/>
      <c r="U40" s="42"/>
      <c r="V40" s="47"/>
    </row>
    <row r="41" spans="1:22" ht="21" customHeight="1" x14ac:dyDescent="0.25">
      <c r="A41" s="118"/>
      <c r="B41" s="119"/>
      <c r="C41" s="119"/>
      <c r="D41" s="119"/>
      <c r="E41" s="119"/>
      <c r="F41" s="120"/>
      <c r="G41" s="23"/>
      <c r="H41" s="23"/>
      <c r="I41" s="23"/>
      <c r="J41" s="23"/>
      <c r="K41" s="23"/>
      <c r="L41" s="34"/>
      <c r="M41" s="23"/>
      <c r="N41" s="23"/>
      <c r="O41" s="23"/>
      <c r="P41" s="23"/>
      <c r="Q41" s="23"/>
      <c r="R41" s="64"/>
      <c r="S41" s="54"/>
      <c r="T41" s="42"/>
      <c r="U41" s="42"/>
      <c r="V41" s="47"/>
    </row>
    <row r="42" spans="1:22" ht="35.25" customHeight="1" x14ac:dyDescent="0.25">
      <c r="A42" s="118"/>
      <c r="B42" s="119"/>
      <c r="C42" s="119"/>
      <c r="D42" s="119"/>
      <c r="E42" s="119"/>
      <c r="F42" s="120"/>
      <c r="G42" s="23"/>
      <c r="H42" s="23"/>
      <c r="I42" s="23"/>
      <c r="J42" s="23"/>
      <c r="K42" s="23"/>
      <c r="L42" s="34"/>
      <c r="M42" s="23"/>
      <c r="N42" s="23"/>
      <c r="O42" s="23"/>
      <c r="P42" s="23"/>
      <c r="Q42" s="23"/>
      <c r="R42" s="64"/>
      <c r="S42" s="54"/>
      <c r="T42" s="42"/>
      <c r="U42" s="42"/>
      <c r="V42" s="47"/>
    </row>
    <row r="43" spans="1:22" ht="25.5" customHeight="1" x14ac:dyDescent="0.25">
      <c r="A43" s="118"/>
      <c r="B43" s="119"/>
      <c r="C43" s="119"/>
      <c r="D43" s="119"/>
      <c r="E43" s="119"/>
      <c r="F43" s="120"/>
      <c r="G43" s="23"/>
      <c r="H43" s="23"/>
      <c r="I43" s="23"/>
      <c r="J43" s="23"/>
      <c r="K43" s="23"/>
      <c r="L43" s="34"/>
      <c r="M43" s="23"/>
      <c r="N43" s="23"/>
      <c r="O43" s="23"/>
      <c r="P43" s="23"/>
      <c r="Q43" s="23"/>
      <c r="R43" s="64"/>
      <c r="S43" s="54"/>
      <c r="T43" s="42"/>
      <c r="U43" s="42"/>
      <c r="V43" s="47"/>
    </row>
    <row r="44" spans="1:22" ht="25.5" customHeight="1" x14ac:dyDescent="0.25">
      <c r="A44" s="118"/>
      <c r="B44" s="119"/>
      <c r="C44" s="119"/>
      <c r="D44" s="119"/>
      <c r="E44" s="119"/>
      <c r="F44" s="120"/>
      <c r="G44" s="23"/>
      <c r="H44" s="23"/>
      <c r="I44" s="23"/>
      <c r="J44" s="23"/>
      <c r="K44" s="23"/>
      <c r="L44" s="34"/>
      <c r="M44" s="23"/>
      <c r="N44" s="23"/>
      <c r="O44" s="23"/>
      <c r="P44" s="23"/>
      <c r="Q44" s="23"/>
      <c r="R44" s="64"/>
      <c r="S44" s="54"/>
      <c r="T44" s="42"/>
      <c r="U44" s="42"/>
      <c r="V44" s="47"/>
    </row>
    <row r="45" spans="1:22" ht="15.75" thickBot="1" x14ac:dyDescent="0.3">
      <c r="A45" s="136" t="s">
        <v>20</v>
      </c>
      <c r="B45" s="137"/>
      <c r="C45" s="137"/>
      <c r="D45" s="137"/>
      <c r="E45" s="137"/>
      <c r="F45" s="137"/>
      <c r="G45" s="14"/>
      <c r="H45" s="14"/>
      <c r="I45" s="14"/>
      <c r="J45" s="14"/>
      <c r="K45" s="14"/>
      <c r="L45" s="26">
        <f>L35-L37</f>
        <v>-299513.42799999996</v>
      </c>
      <c r="M45" s="14"/>
      <c r="N45" s="14"/>
      <c r="O45" s="14"/>
      <c r="P45" s="14"/>
      <c r="Q45" s="14"/>
      <c r="R45" s="63"/>
      <c r="S45" s="52"/>
      <c r="T45" s="39"/>
      <c r="U45" s="39"/>
      <c r="V45" s="45"/>
    </row>
    <row r="46" spans="1:22" s="8" customFormat="1" x14ac:dyDescent="0.25">
      <c r="A46" s="88" t="s">
        <v>27</v>
      </c>
      <c r="B46" s="89">
        <v>2</v>
      </c>
      <c r="C46" s="15">
        <v>9</v>
      </c>
      <c r="D46" s="16">
        <v>2134.6999999999998</v>
      </c>
      <c r="E46" s="16">
        <v>371.7</v>
      </c>
      <c r="F46" s="16">
        <f t="shared" si="14"/>
        <v>2506.3999999999996</v>
      </c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27"/>
      <c r="S46" s="53"/>
      <c r="T46" s="40"/>
      <c r="U46" s="40"/>
      <c r="V46" s="40"/>
    </row>
    <row r="47" spans="1:22" s="3" customFormat="1" ht="21" hidden="1" customHeight="1" x14ac:dyDescent="0.25">
      <c r="A47" s="123" t="s">
        <v>43</v>
      </c>
      <c r="B47" s="124"/>
      <c r="C47" s="124"/>
      <c r="D47" s="124"/>
      <c r="E47" s="124"/>
      <c r="F47" s="124"/>
      <c r="G47" s="11">
        <f t="shared" ref="G47:R47" si="30">$F$46*G$8</f>
        <v>0</v>
      </c>
      <c r="H47" s="11">
        <f t="shared" si="30"/>
        <v>0</v>
      </c>
      <c r="I47" s="11">
        <f t="shared" si="30"/>
        <v>0</v>
      </c>
      <c r="J47" s="11">
        <f t="shared" si="30"/>
        <v>0</v>
      </c>
      <c r="K47" s="11">
        <f t="shared" si="30"/>
        <v>0</v>
      </c>
      <c r="L47" s="11">
        <f t="shared" si="30"/>
        <v>0</v>
      </c>
      <c r="M47" s="11">
        <f t="shared" si="30"/>
        <v>0</v>
      </c>
      <c r="N47" s="11">
        <f t="shared" si="30"/>
        <v>0</v>
      </c>
      <c r="O47" s="11">
        <f t="shared" si="30"/>
        <v>0</v>
      </c>
      <c r="P47" s="11">
        <f t="shared" si="30"/>
        <v>0</v>
      </c>
      <c r="Q47" s="11">
        <f t="shared" si="30"/>
        <v>0</v>
      </c>
      <c r="R47" s="61">
        <f t="shared" si="30"/>
        <v>0</v>
      </c>
      <c r="S47" s="50"/>
      <c r="T47" s="37"/>
      <c r="U47" s="37"/>
      <c r="V47" s="38"/>
    </row>
    <row r="48" spans="1:22" s="3" customFormat="1" ht="21" customHeight="1" x14ac:dyDescent="0.25">
      <c r="A48" s="123" t="s">
        <v>49</v>
      </c>
      <c r="B48" s="124"/>
      <c r="C48" s="124"/>
      <c r="D48" s="124"/>
      <c r="E48" s="124"/>
      <c r="F48" s="124"/>
      <c r="G48" s="11">
        <f>$F$46*G$9</f>
        <v>8772.3999999999978</v>
      </c>
      <c r="H48" s="11">
        <f t="shared" ref="H48:V49" si="31">$F$46*H$9</f>
        <v>751.91999999999985</v>
      </c>
      <c r="I48" s="11">
        <f t="shared" si="31"/>
        <v>11955.527999999997</v>
      </c>
      <c r="J48" s="11">
        <f t="shared" si="31"/>
        <v>23033.815999999995</v>
      </c>
      <c r="K48" s="11">
        <f t="shared" si="31"/>
        <v>9599.5119999999988</v>
      </c>
      <c r="L48" s="11">
        <f t="shared" si="31"/>
        <v>11404.119999999997</v>
      </c>
      <c r="M48" s="11">
        <f t="shared" si="31"/>
        <v>6692.0879999999988</v>
      </c>
      <c r="N48" s="11">
        <f t="shared" si="31"/>
        <v>7268.5599999999986</v>
      </c>
      <c r="O48" s="11">
        <f t="shared" si="31"/>
        <v>5238.3759999999993</v>
      </c>
      <c r="P48" s="11">
        <f t="shared" si="31"/>
        <v>8145.7999999999993</v>
      </c>
      <c r="Q48" s="11">
        <f t="shared" si="31"/>
        <v>8897.7199999999975</v>
      </c>
      <c r="R48" s="11">
        <f t="shared" si="31"/>
        <v>101759.83999999997</v>
      </c>
      <c r="S48" s="50"/>
      <c r="T48" s="37"/>
      <c r="U48" s="37"/>
      <c r="V48" s="38"/>
    </row>
    <row r="49" spans="1:22" s="3" customFormat="1" ht="21" customHeight="1" x14ac:dyDescent="0.25">
      <c r="A49" s="123" t="s">
        <v>76</v>
      </c>
      <c r="B49" s="124"/>
      <c r="C49" s="124"/>
      <c r="D49" s="124"/>
      <c r="E49" s="124"/>
      <c r="F49" s="124"/>
      <c r="G49" s="11">
        <f>$F$46*G$10</f>
        <v>8772.3999999999978</v>
      </c>
      <c r="H49" s="11">
        <f t="shared" ref="H49:R49" si="32">$F$46*H$10</f>
        <v>751.91999999999985</v>
      </c>
      <c r="I49" s="11">
        <f t="shared" si="32"/>
        <v>11955.527999999997</v>
      </c>
      <c r="J49" s="11">
        <f t="shared" si="32"/>
        <v>23033.815999999995</v>
      </c>
      <c r="K49" s="11">
        <f t="shared" si="32"/>
        <v>9599.5119999999988</v>
      </c>
      <c r="L49" s="11">
        <f t="shared" si="32"/>
        <v>12281.359999999999</v>
      </c>
      <c r="M49" s="11">
        <f t="shared" si="32"/>
        <v>6692.0879999999988</v>
      </c>
      <c r="N49" s="11">
        <f t="shared" si="32"/>
        <v>7268.5599999999986</v>
      </c>
      <c r="O49" s="11">
        <f t="shared" si="32"/>
        <v>5238.3759999999993</v>
      </c>
      <c r="P49" s="11">
        <f t="shared" si="32"/>
        <v>8145.7999999999993</v>
      </c>
      <c r="Q49" s="11">
        <f t="shared" si="32"/>
        <v>12832.767999999998</v>
      </c>
      <c r="R49" s="11">
        <f t="shared" si="32"/>
        <v>106572.12799999995</v>
      </c>
      <c r="S49" s="11">
        <f t="shared" si="31"/>
        <v>0</v>
      </c>
      <c r="T49" s="11">
        <f t="shared" si="31"/>
        <v>0</v>
      </c>
      <c r="U49" s="11">
        <f t="shared" si="31"/>
        <v>0</v>
      </c>
      <c r="V49" s="11">
        <f t="shared" si="31"/>
        <v>0</v>
      </c>
    </row>
    <row r="50" spans="1:22" s="8" customFormat="1" ht="21" customHeight="1" x14ac:dyDescent="0.25">
      <c r="A50" s="125" t="s">
        <v>19</v>
      </c>
      <c r="B50" s="126"/>
      <c r="C50" s="126"/>
      <c r="D50" s="126"/>
      <c r="E50" s="126"/>
      <c r="F50" s="126"/>
      <c r="G50" s="10">
        <f>G48*6+G49*6</f>
        <v>105268.79999999997</v>
      </c>
      <c r="H50" s="10">
        <f t="shared" ref="H50" si="33">H48*6+H49*6</f>
        <v>9023.0399999999972</v>
      </c>
      <c r="I50" s="10">
        <f t="shared" ref="I50" si="34">I48*6+I49*6</f>
        <v>143466.33599999995</v>
      </c>
      <c r="J50" s="10">
        <f t="shared" ref="J50" si="35">J48*6+J49*6</f>
        <v>276405.79199999996</v>
      </c>
      <c r="K50" s="10">
        <f t="shared" ref="K50" si="36">K48*6+K49*6</f>
        <v>115194.14399999999</v>
      </c>
      <c r="L50" s="10">
        <f t="shared" ref="L50" si="37">L48*6+L49*6</f>
        <v>142112.87999999998</v>
      </c>
      <c r="M50" s="10">
        <f t="shared" ref="M50" si="38">M48*6+M49*6</f>
        <v>80305.055999999982</v>
      </c>
      <c r="N50" s="10">
        <f t="shared" ref="N50" si="39">N48*6+N49*6</f>
        <v>87222.719999999987</v>
      </c>
      <c r="O50" s="10">
        <f t="shared" ref="O50" si="40">O48*6+O49*6</f>
        <v>62860.511999999988</v>
      </c>
      <c r="P50" s="10">
        <f t="shared" ref="P50" si="41">P48*6+P49*6</f>
        <v>97749.599999999991</v>
      </c>
      <c r="Q50" s="10">
        <f t="shared" ref="Q50" si="42">Q48*6+Q49*6</f>
        <v>130382.92799999999</v>
      </c>
      <c r="R50" s="10">
        <f t="shared" ref="R50" si="43">R48*6+R49*6</f>
        <v>1249991.8079999995</v>
      </c>
      <c r="S50" s="51"/>
      <c r="T50" s="38"/>
      <c r="U50" s="38"/>
      <c r="V50" s="38"/>
    </row>
    <row r="51" spans="1:22" ht="15" customHeight="1" x14ac:dyDescent="0.25">
      <c r="A51" s="127" t="s">
        <v>74</v>
      </c>
      <c r="B51" s="128"/>
      <c r="C51" s="128"/>
      <c r="D51" s="128"/>
      <c r="E51" s="128"/>
      <c r="F51" s="128"/>
      <c r="G51" s="20">
        <f>G50</f>
        <v>105268.79999999997</v>
      </c>
      <c r="H51" s="20">
        <f t="shared" ref="H51:R51" si="44">H50</f>
        <v>9023.0399999999972</v>
      </c>
      <c r="I51" s="20">
        <f t="shared" si="44"/>
        <v>143466.33599999995</v>
      </c>
      <c r="J51" s="20">
        <f t="shared" si="44"/>
        <v>276405.79199999996</v>
      </c>
      <c r="K51" s="20">
        <f t="shared" si="44"/>
        <v>115194.14399999999</v>
      </c>
      <c r="L51" s="20">
        <f t="shared" si="44"/>
        <v>142112.87999999998</v>
      </c>
      <c r="M51" s="20">
        <f t="shared" si="44"/>
        <v>80305.055999999982</v>
      </c>
      <c r="N51" s="20">
        <f t="shared" si="44"/>
        <v>87222.719999999987</v>
      </c>
      <c r="O51" s="20">
        <f t="shared" si="44"/>
        <v>62860.511999999988</v>
      </c>
      <c r="P51" s="20">
        <f t="shared" si="44"/>
        <v>97749.599999999991</v>
      </c>
      <c r="Q51" s="20">
        <f t="shared" si="44"/>
        <v>130382.92799999999</v>
      </c>
      <c r="R51" s="106">
        <f t="shared" si="44"/>
        <v>1249991.8079999995</v>
      </c>
      <c r="S51" s="49"/>
      <c r="T51" s="37">
        <f>179077.62+452771.04</f>
        <v>631848.65999999992</v>
      </c>
      <c r="U51" s="37">
        <f>17988.78+45469.98</f>
        <v>63458.76</v>
      </c>
      <c r="V51" s="38"/>
    </row>
    <row r="52" spans="1:22" ht="15" customHeight="1" x14ac:dyDescent="0.25">
      <c r="A52" s="127" t="s">
        <v>75</v>
      </c>
      <c r="B52" s="128"/>
      <c r="C52" s="128"/>
      <c r="D52" s="128"/>
      <c r="E52" s="128"/>
      <c r="F52" s="128"/>
      <c r="G52" s="21">
        <f>$R52/$R51*G51</f>
        <v>105268.79999999997</v>
      </c>
      <c r="H52" s="21">
        <f t="shared" ref="H52" si="45">$R52/$R51*H51</f>
        <v>9023.0399999999972</v>
      </c>
      <c r="I52" s="21">
        <f t="shared" ref="I52:K52" si="46">$R52/$R51*I51</f>
        <v>143466.33599999995</v>
      </c>
      <c r="J52" s="21">
        <f t="shared" si="46"/>
        <v>276405.79199999996</v>
      </c>
      <c r="K52" s="21">
        <f t="shared" si="46"/>
        <v>115194.14399999999</v>
      </c>
      <c r="L52" s="21">
        <f t="shared" ref="L52" si="47">$R52/$R51*L51</f>
        <v>142112.87999999998</v>
      </c>
      <c r="M52" s="21">
        <f t="shared" ref="M52" si="48">$R52/$R51*M51</f>
        <v>80305.055999999982</v>
      </c>
      <c r="N52" s="21">
        <f t="shared" ref="N52" si="49">$R52/$R51*N51</f>
        <v>87222.719999999987</v>
      </c>
      <c r="O52" s="21">
        <f t="shared" ref="O52:P52" si="50">$R52/$R51*O51</f>
        <v>62860.511999999988</v>
      </c>
      <c r="P52" s="21">
        <f t="shared" si="50"/>
        <v>97749.599999999991</v>
      </c>
      <c r="Q52" s="21">
        <f t="shared" ref="Q52" si="51">$R52/$R51*Q51</f>
        <v>130382.92799999999</v>
      </c>
      <c r="R52" s="107">
        <f>R51-R53</f>
        <v>1249991.8079999995</v>
      </c>
      <c r="S52" s="49">
        <f>R52/R51*100</f>
        <v>100</v>
      </c>
      <c r="T52" s="37">
        <v>433310.13</v>
      </c>
      <c r="U52" s="37">
        <v>43515.66</v>
      </c>
      <c r="V52" s="38"/>
    </row>
    <row r="53" spans="1:22" ht="18.75" customHeight="1" x14ac:dyDescent="0.25">
      <c r="A53" s="121" t="s">
        <v>18</v>
      </c>
      <c r="B53" s="122"/>
      <c r="C53" s="122"/>
      <c r="D53" s="122"/>
      <c r="E53" s="122"/>
      <c r="F53" s="122"/>
      <c r="G53" s="21">
        <f>$R53/$R51*G51</f>
        <v>0</v>
      </c>
      <c r="H53" s="21">
        <f>$R53/$R51*H51</f>
        <v>0</v>
      </c>
      <c r="I53" s="21">
        <f t="shared" ref="I53:N53" si="52">$R53/$R51*I51</f>
        <v>0</v>
      </c>
      <c r="J53" s="21">
        <f t="shared" ref="J53:K53" si="53">$R53/$R51*J51</f>
        <v>0</v>
      </c>
      <c r="K53" s="21">
        <f t="shared" si="53"/>
        <v>0</v>
      </c>
      <c r="L53" s="21">
        <f t="shared" si="52"/>
        <v>0</v>
      </c>
      <c r="M53" s="21">
        <f t="shared" si="52"/>
        <v>0</v>
      </c>
      <c r="N53" s="21">
        <f t="shared" si="52"/>
        <v>0</v>
      </c>
      <c r="O53" s="21">
        <f>$R53/$R51*O51</f>
        <v>0</v>
      </c>
      <c r="P53" s="21">
        <f>$R53/$R51*P51</f>
        <v>0</v>
      </c>
      <c r="Q53" s="21">
        <f>$R53/$R51*Q51</f>
        <v>0</v>
      </c>
      <c r="R53" s="108"/>
      <c r="S53" s="49"/>
      <c r="T53" s="37">
        <f>T51-T52</f>
        <v>198538.52999999991</v>
      </c>
      <c r="U53" s="37">
        <f>U51-U52</f>
        <v>19943.099999999999</v>
      </c>
      <c r="V53" s="38">
        <f>T53+U53</f>
        <v>218481.62999999992</v>
      </c>
    </row>
    <row r="54" spans="1:22" x14ac:dyDescent="0.25">
      <c r="A54" s="132" t="s">
        <v>17</v>
      </c>
      <c r="B54" s="133"/>
      <c r="C54" s="133"/>
      <c r="D54" s="133"/>
      <c r="E54" s="133"/>
      <c r="F54" s="133"/>
      <c r="G54" s="9"/>
      <c r="H54" s="9"/>
      <c r="I54" s="9"/>
      <c r="J54" s="9"/>
      <c r="K54" s="9"/>
      <c r="L54" s="10">
        <f>L55+L56+L57+L58+L59+L60</f>
        <v>346800.2</v>
      </c>
      <c r="M54" s="9"/>
      <c r="N54" s="9"/>
      <c r="O54" s="9"/>
      <c r="P54" s="9"/>
      <c r="Q54" s="9"/>
      <c r="R54" s="62"/>
      <c r="S54" s="49"/>
      <c r="T54" s="37"/>
      <c r="U54" s="37"/>
      <c r="V54" s="38"/>
    </row>
    <row r="55" spans="1:22" x14ac:dyDescent="0.25">
      <c r="A55" s="118" t="s">
        <v>51</v>
      </c>
      <c r="B55" s="119"/>
      <c r="C55" s="119"/>
      <c r="D55" s="119"/>
      <c r="E55" s="119"/>
      <c r="F55" s="120"/>
      <c r="G55" s="23"/>
      <c r="H55" s="23"/>
      <c r="I55" s="23"/>
      <c r="J55" s="23"/>
      <c r="K55" s="23"/>
      <c r="L55" s="111">
        <v>30928</v>
      </c>
      <c r="M55" s="23"/>
      <c r="N55" s="23"/>
      <c r="O55" s="23"/>
      <c r="P55" s="23"/>
      <c r="Q55" s="23"/>
      <c r="R55" s="64"/>
      <c r="S55" s="54"/>
      <c r="T55" s="42"/>
      <c r="U55" s="42"/>
      <c r="V55" s="47"/>
    </row>
    <row r="56" spans="1:22" ht="15" customHeight="1" x14ac:dyDescent="0.25">
      <c r="A56" s="118" t="s">
        <v>61</v>
      </c>
      <c r="B56" s="119"/>
      <c r="C56" s="119"/>
      <c r="D56" s="119"/>
      <c r="E56" s="119"/>
      <c r="F56" s="120"/>
      <c r="G56" s="23"/>
      <c r="H56" s="23"/>
      <c r="I56" s="23"/>
      <c r="J56" s="23"/>
      <c r="K56" s="23"/>
      <c r="L56" s="115">
        <v>203368.2</v>
      </c>
      <c r="M56" s="23"/>
      <c r="N56" s="23"/>
      <c r="O56" s="23"/>
      <c r="P56" s="23"/>
      <c r="Q56" s="23"/>
      <c r="R56" s="64"/>
      <c r="S56" s="54"/>
      <c r="T56" s="42"/>
      <c r="U56" s="42"/>
      <c r="V56" s="47"/>
    </row>
    <row r="57" spans="1:22" ht="15" customHeight="1" x14ac:dyDescent="0.25">
      <c r="A57" s="118" t="s">
        <v>70</v>
      </c>
      <c r="B57" s="119"/>
      <c r="C57" s="119"/>
      <c r="D57" s="119"/>
      <c r="E57" s="119"/>
      <c r="F57" s="120"/>
      <c r="G57" s="23"/>
      <c r="H57" s="23"/>
      <c r="I57" s="23"/>
      <c r="J57" s="23"/>
      <c r="K57" s="23"/>
      <c r="L57" s="111">
        <v>112504</v>
      </c>
      <c r="M57" s="23"/>
      <c r="N57" s="23"/>
      <c r="O57" s="23"/>
      <c r="P57" s="23"/>
      <c r="Q57" s="23"/>
      <c r="R57" s="64"/>
      <c r="S57" s="54"/>
      <c r="T57" s="42"/>
      <c r="U57" s="42"/>
      <c r="V57" s="47"/>
    </row>
    <row r="58" spans="1:22" ht="21" customHeight="1" x14ac:dyDescent="0.25">
      <c r="A58" s="118"/>
      <c r="B58" s="119"/>
      <c r="C58" s="119"/>
      <c r="D58" s="119"/>
      <c r="E58" s="119"/>
      <c r="F58" s="120"/>
      <c r="G58" s="23"/>
      <c r="H58" s="23"/>
      <c r="I58" s="23"/>
      <c r="J58" s="23"/>
      <c r="K58" s="23"/>
      <c r="L58" s="34"/>
      <c r="M58" s="23"/>
      <c r="N58" s="23"/>
      <c r="O58" s="23"/>
      <c r="P58" s="23"/>
      <c r="Q58" s="23"/>
      <c r="R58" s="64"/>
      <c r="S58" s="54"/>
      <c r="T58" s="42"/>
      <c r="U58" s="42"/>
      <c r="V58" s="47"/>
    </row>
    <row r="59" spans="1:22" ht="21" customHeight="1" x14ac:dyDescent="0.25">
      <c r="A59" s="118"/>
      <c r="B59" s="119"/>
      <c r="C59" s="119"/>
      <c r="D59" s="119"/>
      <c r="E59" s="119"/>
      <c r="F59" s="120"/>
      <c r="G59" s="23"/>
      <c r="H59" s="23"/>
      <c r="I59" s="23"/>
      <c r="J59" s="23"/>
      <c r="K59" s="23"/>
      <c r="L59" s="34"/>
      <c r="M59" s="23"/>
      <c r="N59" s="23"/>
      <c r="O59" s="23"/>
      <c r="P59" s="23"/>
      <c r="Q59" s="23"/>
      <c r="R59" s="64"/>
      <c r="S59" s="54"/>
      <c r="T59" s="42"/>
      <c r="U59" s="42"/>
      <c r="V59" s="47"/>
    </row>
    <row r="60" spans="1:22" ht="21" customHeight="1" x14ac:dyDescent="0.25">
      <c r="A60" s="118"/>
      <c r="B60" s="119"/>
      <c r="C60" s="119"/>
      <c r="D60" s="119"/>
      <c r="E60" s="119"/>
      <c r="F60" s="120"/>
      <c r="G60" s="23"/>
      <c r="H60" s="23"/>
      <c r="I60" s="23"/>
      <c r="J60" s="23"/>
      <c r="K60" s="23"/>
      <c r="L60" s="34"/>
      <c r="M60" s="23"/>
      <c r="N60" s="23"/>
      <c r="O60" s="23"/>
      <c r="P60" s="23"/>
      <c r="Q60" s="23"/>
      <c r="R60" s="64"/>
      <c r="S60" s="54"/>
      <c r="T60" s="42"/>
      <c r="U60" s="42"/>
      <c r="V60" s="47"/>
    </row>
    <row r="61" spans="1:22" ht="15.75" thickBot="1" x14ac:dyDescent="0.3">
      <c r="A61" s="136"/>
      <c r="B61" s="137"/>
      <c r="C61" s="137"/>
      <c r="D61" s="137"/>
      <c r="E61" s="137"/>
      <c r="F61" s="137"/>
      <c r="G61" s="14"/>
      <c r="H61" s="14"/>
      <c r="I61" s="14"/>
      <c r="J61" s="14"/>
      <c r="K61" s="14"/>
      <c r="L61" s="26">
        <f>L52-L54</f>
        <v>-204687.32000000004</v>
      </c>
      <c r="M61" s="14"/>
      <c r="N61" s="14"/>
      <c r="O61" s="14"/>
      <c r="P61" s="14"/>
      <c r="Q61" s="14"/>
      <c r="R61" s="63"/>
      <c r="S61" s="52"/>
      <c r="T61" s="39"/>
      <c r="U61" s="39"/>
      <c r="V61" s="45"/>
    </row>
    <row r="62" spans="1:22" x14ac:dyDescent="0.25">
      <c r="A62" s="86" t="s">
        <v>27</v>
      </c>
      <c r="B62" s="87" t="s">
        <v>29</v>
      </c>
      <c r="C62" s="12">
        <v>9</v>
      </c>
      <c r="D62" s="13">
        <v>2374.4</v>
      </c>
      <c r="E62" s="13"/>
      <c r="F62" s="13">
        <f t="shared" si="14"/>
        <v>2374.4</v>
      </c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65"/>
      <c r="S62" s="55"/>
      <c r="T62" s="41"/>
      <c r="U62" s="41"/>
      <c r="V62" s="46"/>
    </row>
    <row r="63" spans="1:22" s="3" customFormat="1" ht="21" hidden="1" customHeight="1" x14ac:dyDescent="0.25">
      <c r="A63" s="123" t="s">
        <v>30</v>
      </c>
      <c r="B63" s="124"/>
      <c r="C63" s="124"/>
      <c r="D63" s="124"/>
      <c r="E63" s="124"/>
      <c r="F63" s="124"/>
      <c r="G63" s="11">
        <f t="shared" ref="G63:R63" si="54">$F$62*G$8</f>
        <v>0</v>
      </c>
      <c r="H63" s="11">
        <f t="shared" si="54"/>
        <v>0</v>
      </c>
      <c r="I63" s="11">
        <f t="shared" si="54"/>
        <v>0</v>
      </c>
      <c r="J63" s="11">
        <f t="shared" si="54"/>
        <v>0</v>
      </c>
      <c r="K63" s="11">
        <f t="shared" si="54"/>
        <v>0</v>
      </c>
      <c r="L63" s="11">
        <f t="shared" si="54"/>
        <v>0</v>
      </c>
      <c r="M63" s="11">
        <f t="shared" si="54"/>
        <v>0</v>
      </c>
      <c r="N63" s="11">
        <f t="shared" si="54"/>
        <v>0</v>
      </c>
      <c r="O63" s="11">
        <f t="shared" si="54"/>
        <v>0</v>
      </c>
      <c r="P63" s="11">
        <f t="shared" si="54"/>
        <v>0</v>
      </c>
      <c r="Q63" s="11">
        <f t="shared" si="54"/>
        <v>0</v>
      </c>
      <c r="R63" s="61">
        <f t="shared" si="54"/>
        <v>0</v>
      </c>
      <c r="S63" s="50"/>
      <c r="T63" s="37"/>
      <c r="U63" s="37"/>
      <c r="V63" s="38"/>
    </row>
    <row r="64" spans="1:22" s="3" customFormat="1" ht="21" customHeight="1" x14ac:dyDescent="0.25">
      <c r="A64" s="123" t="s">
        <v>49</v>
      </c>
      <c r="B64" s="124"/>
      <c r="C64" s="124"/>
      <c r="D64" s="124"/>
      <c r="E64" s="124"/>
      <c r="F64" s="124"/>
      <c r="G64" s="11">
        <f>$F$62*G$9</f>
        <v>8310.4</v>
      </c>
      <c r="H64" s="11">
        <f t="shared" ref="H64:R64" si="55">$F$62*H$9</f>
        <v>712.32</v>
      </c>
      <c r="I64" s="11">
        <f t="shared" si="55"/>
        <v>11325.887999999999</v>
      </c>
      <c r="J64" s="11">
        <f t="shared" si="55"/>
        <v>21820.736000000001</v>
      </c>
      <c r="K64" s="11">
        <f t="shared" si="55"/>
        <v>9093.9520000000011</v>
      </c>
      <c r="L64" s="11">
        <f t="shared" si="55"/>
        <v>10803.52</v>
      </c>
      <c r="M64" s="11">
        <f t="shared" si="55"/>
        <v>6339.6480000000001</v>
      </c>
      <c r="N64" s="11">
        <f t="shared" si="55"/>
        <v>6885.76</v>
      </c>
      <c r="O64" s="11">
        <f t="shared" si="55"/>
        <v>4962.4960000000001</v>
      </c>
      <c r="P64" s="11">
        <f t="shared" si="55"/>
        <v>7716.8</v>
      </c>
      <c r="Q64" s="11">
        <f t="shared" si="55"/>
        <v>8429.1200000000008</v>
      </c>
      <c r="R64" s="11">
        <f t="shared" si="55"/>
        <v>96400.639999999985</v>
      </c>
      <c r="S64" s="50"/>
      <c r="T64" s="37"/>
      <c r="U64" s="37"/>
      <c r="V64" s="38"/>
    </row>
    <row r="65" spans="1:22" s="3" customFormat="1" ht="21" customHeight="1" x14ac:dyDescent="0.25">
      <c r="A65" s="123" t="s">
        <v>76</v>
      </c>
      <c r="B65" s="124"/>
      <c r="C65" s="124"/>
      <c r="D65" s="124"/>
      <c r="E65" s="124"/>
      <c r="F65" s="124"/>
      <c r="G65" s="11">
        <f>$F$62*G$10</f>
        <v>8310.4</v>
      </c>
      <c r="H65" s="11">
        <f t="shared" ref="H65:R65" si="56">$F$62*H$10</f>
        <v>712.32</v>
      </c>
      <c r="I65" s="11">
        <f t="shared" si="56"/>
        <v>11325.887999999999</v>
      </c>
      <c r="J65" s="11">
        <f t="shared" si="56"/>
        <v>21820.736000000001</v>
      </c>
      <c r="K65" s="11">
        <f t="shared" si="56"/>
        <v>9093.9520000000011</v>
      </c>
      <c r="L65" s="11">
        <f t="shared" si="56"/>
        <v>11634.560000000001</v>
      </c>
      <c r="M65" s="11">
        <f t="shared" si="56"/>
        <v>6339.6480000000001</v>
      </c>
      <c r="N65" s="11">
        <f t="shared" si="56"/>
        <v>6885.76</v>
      </c>
      <c r="O65" s="11">
        <f t="shared" si="56"/>
        <v>4962.4960000000001</v>
      </c>
      <c r="P65" s="11">
        <f t="shared" si="56"/>
        <v>7716.8</v>
      </c>
      <c r="Q65" s="11">
        <f t="shared" si="56"/>
        <v>12156.928</v>
      </c>
      <c r="R65" s="11">
        <f t="shared" si="56"/>
        <v>100959.48799999998</v>
      </c>
      <c r="S65" s="50"/>
      <c r="T65" s="37"/>
      <c r="U65" s="37"/>
      <c r="V65" s="38"/>
    </row>
    <row r="66" spans="1:22" s="8" customFormat="1" ht="21" customHeight="1" x14ac:dyDescent="0.25">
      <c r="A66" s="125" t="s">
        <v>19</v>
      </c>
      <c r="B66" s="126"/>
      <c r="C66" s="126"/>
      <c r="D66" s="126"/>
      <c r="E66" s="126"/>
      <c r="F66" s="126"/>
      <c r="G66" s="10">
        <f>G64*6+G65*6</f>
        <v>99724.799999999988</v>
      </c>
      <c r="H66" s="10">
        <f t="shared" ref="H66" si="57">H64*6+H65*6</f>
        <v>8547.84</v>
      </c>
      <c r="I66" s="10">
        <f t="shared" ref="I66" si="58">I64*6+I65*6</f>
        <v>135910.65599999999</v>
      </c>
      <c r="J66" s="10">
        <f t="shared" ref="J66" si="59">J64*6+J65*6</f>
        <v>261848.83199999999</v>
      </c>
      <c r="K66" s="10">
        <f t="shared" ref="K66" si="60">K64*6+K65*6</f>
        <v>109127.42400000001</v>
      </c>
      <c r="L66" s="10">
        <f t="shared" ref="L66" si="61">L64*6+L65*6</f>
        <v>134628.48000000001</v>
      </c>
      <c r="M66" s="10">
        <f t="shared" ref="M66" si="62">M64*6+M65*6</f>
        <v>76075.775999999998</v>
      </c>
      <c r="N66" s="10">
        <f t="shared" ref="N66" si="63">N64*6+N65*6</f>
        <v>82629.119999999995</v>
      </c>
      <c r="O66" s="10">
        <f t="shared" ref="O66" si="64">O64*6+O65*6</f>
        <v>59549.952000000005</v>
      </c>
      <c r="P66" s="10">
        <f t="shared" ref="P66" si="65">P64*6+P65*6</f>
        <v>92601.600000000006</v>
      </c>
      <c r="Q66" s="10">
        <f t="shared" ref="Q66" si="66">Q64*6+Q65*6</f>
        <v>123516.288</v>
      </c>
      <c r="R66" s="10">
        <f t="shared" ref="R66" si="67">R64*6+R65*6</f>
        <v>1184160.7679999997</v>
      </c>
      <c r="S66" s="51"/>
      <c r="T66" s="38"/>
      <c r="U66" s="38"/>
      <c r="V66" s="38"/>
    </row>
    <row r="67" spans="1:22" ht="15" customHeight="1" x14ac:dyDescent="0.25">
      <c r="A67" s="127" t="s">
        <v>74</v>
      </c>
      <c r="B67" s="128"/>
      <c r="C67" s="128"/>
      <c r="D67" s="128"/>
      <c r="E67" s="128"/>
      <c r="F67" s="128"/>
      <c r="G67" s="20">
        <f>G66</f>
        <v>99724.799999999988</v>
      </c>
      <c r="H67" s="20">
        <f t="shared" ref="H67:R67" si="68">H66</f>
        <v>8547.84</v>
      </c>
      <c r="I67" s="20">
        <f t="shared" si="68"/>
        <v>135910.65599999999</v>
      </c>
      <c r="J67" s="20">
        <f t="shared" si="68"/>
        <v>261848.83199999999</v>
      </c>
      <c r="K67" s="20">
        <f t="shared" si="68"/>
        <v>109127.42400000001</v>
      </c>
      <c r="L67" s="20">
        <f t="shared" si="68"/>
        <v>134628.48000000001</v>
      </c>
      <c r="M67" s="20">
        <f t="shared" si="68"/>
        <v>76075.775999999998</v>
      </c>
      <c r="N67" s="20">
        <f t="shared" si="68"/>
        <v>82629.119999999995</v>
      </c>
      <c r="O67" s="20">
        <f t="shared" si="68"/>
        <v>59549.952000000005</v>
      </c>
      <c r="P67" s="20">
        <f t="shared" si="68"/>
        <v>92601.600000000006</v>
      </c>
      <c r="Q67" s="20">
        <f t="shared" si="68"/>
        <v>123516.288</v>
      </c>
      <c r="R67" s="106">
        <f t="shared" si="68"/>
        <v>1184160.7679999997</v>
      </c>
      <c r="S67" s="49"/>
      <c r="T67" s="37">
        <f>339676.89+503611.62</f>
        <v>843288.51</v>
      </c>
      <c r="U67" s="37">
        <f>27008.7+50575.62</f>
        <v>77584.320000000007</v>
      </c>
      <c r="V67" s="38"/>
    </row>
    <row r="68" spans="1:22" ht="15" customHeight="1" x14ac:dyDescent="0.25">
      <c r="A68" s="127" t="s">
        <v>75</v>
      </c>
      <c r="B68" s="128"/>
      <c r="C68" s="128"/>
      <c r="D68" s="128"/>
      <c r="E68" s="128"/>
      <c r="F68" s="128"/>
      <c r="G68" s="21">
        <f>$R68/$R67*G67</f>
        <v>99724.799999999988</v>
      </c>
      <c r="H68" s="21">
        <f t="shared" ref="H68" si="69">$R68/$R67*H67</f>
        <v>8547.84</v>
      </c>
      <c r="I68" s="21">
        <f t="shared" ref="I68:K68" si="70">$R68/$R67*I67</f>
        <v>135910.65599999999</v>
      </c>
      <c r="J68" s="21">
        <f t="shared" si="70"/>
        <v>261848.83199999999</v>
      </c>
      <c r="K68" s="21">
        <f t="shared" si="70"/>
        <v>109127.42400000001</v>
      </c>
      <c r="L68" s="21">
        <f t="shared" ref="L68" si="71">$R68/$R67*L67</f>
        <v>134628.48000000001</v>
      </c>
      <c r="M68" s="21">
        <f t="shared" ref="M68" si="72">$R68/$R67*M67</f>
        <v>76075.775999999998</v>
      </c>
      <c r="N68" s="21">
        <f t="shared" ref="N68" si="73">$R68/$R67*N67</f>
        <v>82629.119999999995</v>
      </c>
      <c r="O68" s="21">
        <f t="shared" ref="O68:P68" si="74">$R68/$R67*O67</f>
        <v>59549.952000000005</v>
      </c>
      <c r="P68" s="21">
        <f t="shared" si="74"/>
        <v>92601.600000000006</v>
      </c>
      <c r="Q68" s="21">
        <f t="shared" ref="Q68" si="75">$R68/$R67*Q67</f>
        <v>123516.288</v>
      </c>
      <c r="R68" s="107">
        <f>R67-R69</f>
        <v>1184160.7679999997</v>
      </c>
      <c r="S68" s="49">
        <f>R68/R67*100</f>
        <v>100</v>
      </c>
      <c r="T68" s="37">
        <v>473588.07</v>
      </c>
      <c r="U68" s="37">
        <v>47560.47</v>
      </c>
      <c r="V68" s="38"/>
    </row>
    <row r="69" spans="1:22" ht="18.75" customHeight="1" x14ac:dyDescent="0.25">
      <c r="A69" s="121" t="s">
        <v>18</v>
      </c>
      <c r="B69" s="122"/>
      <c r="C69" s="122"/>
      <c r="D69" s="122"/>
      <c r="E69" s="122"/>
      <c r="F69" s="122"/>
      <c r="G69" s="21">
        <f>$R69/$R67*G67</f>
        <v>0</v>
      </c>
      <c r="H69" s="21">
        <f>$R69/$R67*H67</f>
        <v>0</v>
      </c>
      <c r="I69" s="21">
        <f t="shared" ref="I69:N69" si="76">$R69/$R67*I67</f>
        <v>0</v>
      </c>
      <c r="J69" s="21">
        <f t="shared" ref="J69:K69" si="77">$R69/$R67*J67</f>
        <v>0</v>
      </c>
      <c r="K69" s="21">
        <f t="shared" si="77"/>
        <v>0</v>
      </c>
      <c r="L69" s="21">
        <f t="shared" si="76"/>
        <v>0</v>
      </c>
      <c r="M69" s="21">
        <f t="shared" si="76"/>
        <v>0</v>
      </c>
      <c r="N69" s="21">
        <f t="shared" si="76"/>
        <v>0</v>
      </c>
      <c r="O69" s="21">
        <f>$R69/$R67*O67</f>
        <v>0</v>
      </c>
      <c r="P69" s="21">
        <f>$R69/$R67*P67</f>
        <v>0</v>
      </c>
      <c r="Q69" s="21">
        <f t="shared" ref="Q69" si="78">$R69/$R67*Q67</f>
        <v>0</v>
      </c>
      <c r="R69" s="108"/>
      <c r="S69" s="49"/>
      <c r="T69" s="37">
        <f>T67-T68</f>
        <v>369700.44</v>
      </c>
      <c r="U69" s="37">
        <f>U67-U68</f>
        <v>30023.850000000006</v>
      </c>
      <c r="V69" s="38">
        <f>T69+U69</f>
        <v>399724.29000000004</v>
      </c>
    </row>
    <row r="70" spans="1:22" x14ac:dyDescent="0.25">
      <c r="A70" s="132" t="s">
        <v>17</v>
      </c>
      <c r="B70" s="133"/>
      <c r="C70" s="133"/>
      <c r="D70" s="133"/>
      <c r="E70" s="133"/>
      <c r="F70" s="133"/>
      <c r="G70" s="9"/>
      <c r="H70" s="9"/>
      <c r="I70" s="9"/>
      <c r="J70" s="9"/>
      <c r="K70" s="9"/>
      <c r="L70" s="10">
        <f>L71+L72+L73+L74+L75+L76+L77+L78</f>
        <v>198897.83</v>
      </c>
      <c r="M70" s="9"/>
      <c r="N70" s="9"/>
      <c r="O70" s="9"/>
      <c r="P70" s="9"/>
      <c r="Q70" s="9"/>
      <c r="R70" s="62"/>
      <c r="S70" s="49"/>
      <c r="T70" s="37"/>
      <c r="U70" s="37"/>
      <c r="V70" s="38"/>
    </row>
    <row r="71" spans="1:22" ht="15" customHeight="1" x14ac:dyDescent="0.25">
      <c r="A71" s="118" t="s">
        <v>91</v>
      </c>
      <c r="B71" s="119"/>
      <c r="C71" s="119"/>
      <c r="D71" s="119"/>
      <c r="E71" s="119"/>
      <c r="F71" s="120"/>
      <c r="G71" s="23"/>
      <c r="H71" s="23"/>
      <c r="I71" s="23"/>
      <c r="J71" s="23"/>
      <c r="K71" s="23"/>
      <c r="L71" s="115">
        <v>198897.83</v>
      </c>
      <c r="M71" s="23"/>
      <c r="N71" s="23"/>
      <c r="O71" s="23"/>
      <c r="P71" s="23"/>
      <c r="Q71" s="23"/>
      <c r="R71" s="64"/>
      <c r="S71" s="54"/>
      <c r="T71" s="42"/>
      <c r="U71" s="42"/>
      <c r="V71" s="47"/>
    </row>
    <row r="72" spans="1:22" ht="30" customHeight="1" x14ac:dyDescent="0.25">
      <c r="A72" s="118"/>
      <c r="B72" s="119"/>
      <c r="C72" s="119"/>
      <c r="D72" s="119"/>
      <c r="E72" s="119"/>
      <c r="F72" s="120"/>
      <c r="G72" s="23"/>
      <c r="H72" s="23"/>
      <c r="I72" s="23"/>
      <c r="J72" s="23"/>
      <c r="K72" s="23"/>
      <c r="L72" s="34"/>
      <c r="M72" s="23"/>
      <c r="N72" s="23"/>
      <c r="O72" s="23"/>
      <c r="P72" s="23"/>
      <c r="Q72" s="23"/>
      <c r="R72" s="64"/>
      <c r="S72" s="54"/>
      <c r="T72" s="42"/>
      <c r="U72" s="42"/>
      <c r="V72" s="47"/>
    </row>
    <row r="73" spans="1:22" ht="45" customHeight="1" x14ac:dyDescent="0.25">
      <c r="A73" s="118"/>
      <c r="B73" s="119"/>
      <c r="C73" s="119"/>
      <c r="D73" s="119"/>
      <c r="E73" s="119"/>
      <c r="F73" s="120"/>
      <c r="G73" s="23"/>
      <c r="H73" s="23"/>
      <c r="I73" s="23"/>
      <c r="J73" s="23"/>
      <c r="K73" s="23"/>
      <c r="L73" s="34"/>
      <c r="M73" s="23"/>
      <c r="N73" s="23"/>
      <c r="O73" s="23"/>
      <c r="P73" s="23"/>
      <c r="Q73" s="23"/>
      <c r="R73" s="64"/>
      <c r="S73" s="54"/>
      <c r="T73" s="42"/>
      <c r="U73" s="42"/>
      <c r="V73" s="47"/>
    </row>
    <row r="74" spans="1:22" ht="21" customHeight="1" x14ac:dyDescent="0.25">
      <c r="A74" s="118"/>
      <c r="B74" s="119"/>
      <c r="C74" s="119"/>
      <c r="D74" s="119"/>
      <c r="E74" s="119"/>
      <c r="F74" s="120"/>
      <c r="G74" s="23"/>
      <c r="H74" s="23"/>
      <c r="I74" s="23"/>
      <c r="J74" s="23"/>
      <c r="K74" s="23"/>
      <c r="L74" s="34"/>
      <c r="M74" s="23"/>
      <c r="N74" s="23"/>
      <c r="O74" s="23"/>
      <c r="P74" s="23"/>
      <c r="Q74" s="23"/>
      <c r="R74" s="64"/>
      <c r="S74" s="54"/>
      <c r="T74" s="42"/>
      <c r="U74" s="42"/>
      <c r="V74" s="47"/>
    </row>
    <row r="75" spans="1:22" ht="21" customHeight="1" x14ac:dyDescent="0.25">
      <c r="A75" s="118"/>
      <c r="B75" s="119"/>
      <c r="C75" s="119"/>
      <c r="D75" s="119"/>
      <c r="E75" s="119"/>
      <c r="F75" s="120"/>
      <c r="G75" s="23"/>
      <c r="H75" s="23"/>
      <c r="I75" s="23"/>
      <c r="J75" s="23"/>
      <c r="K75" s="23"/>
      <c r="L75" s="34"/>
      <c r="M75" s="23"/>
      <c r="N75" s="23"/>
      <c r="O75" s="23"/>
      <c r="P75" s="23"/>
      <c r="Q75" s="23"/>
      <c r="R75" s="64"/>
      <c r="S75" s="54"/>
      <c r="T75" s="42"/>
      <c r="U75" s="42"/>
      <c r="V75" s="47"/>
    </row>
    <row r="76" spans="1:22" ht="30.75" customHeight="1" x14ac:dyDescent="0.25">
      <c r="A76" s="118"/>
      <c r="B76" s="119"/>
      <c r="C76" s="119"/>
      <c r="D76" s="119"/>
      <c r="E76" s="119"/>
      <c r="F76" s="120"/>
      <c r="G76" s="23"/>
      <c r="H76" s="23"/>
      <c r="I76" s="23"/>
      <c r="J76" s="23"/>
      <c r="K76" s="23"/>
      <c r="L76" s="34"/>
      <c r="M76" s="23"/>
      <c r="N76" s="23"/>
      <c r="O76" s="23"/>
      <c r="P76" s="23"/>
      <c r="Q76" s="23"/>
      <c r="R76" s="64"/>
      <c r="S76" s="54"/>
      <c r="T76" s="42"/>
      <c r="U76" s="42"/>
      <c r="V76" s="47"/>
    </row>
    <row r="77" spans="1:22" ht="30.75" customHeight="1" x14ac:dyDescent="0.25">
      <c r="A77" s="118"/>
      <c r="B77" s="119"/>
      <c r="C77" s="119"/>
      <c r="D77" s="119"/>
      <c r="E77" s="119"/>
      <c r="F77" s="120"/>
      <c r="G77" s="23"/>
      <c r="H77" s="23"/>
      <c r="I77" s="23"/>
      <c r="J77" s="23"/>
      <c r="K77" s="23"/>
      <c r="L77" s="34"/>
      <c r="M77" s="23"/>
      <c r="N77" s="23"/>
      <c r="O77" s="23"/>
      <c r="P77" s="23"/>
      <c r="Q77" s="23"/>
      <c r="R77" s="64"/>
      <c r="S77" s="54"/>
      <c r="T77" s="42"/>
      <c r="U77" s="42"/>
      <c r="V77" s="47"/>
    </row>
    <row r="78" spans="1:22" ht="25.5" customHeight="1" x14ac:dyDescent="0.25">
      <c r="A78" s="118"/>
      <c r="B78" s="119"/>
      <c r="C78" s="119"/>
      <c r="D78" s="119"/>
      <c r="E78" s="119"/>
      <c r="F78" s="120"/>
      <c r="G78" s="23"/>
      <c r="H78" s="23"/>
      <c r="I78" s="23"/>
      <c r="J78" s="23"/>
      <c r="K78" s="23"/>
      <c r="L78" s="34"/>
      <c r="M78" s="23"/>
      <c r="N78" s="23"/>
      <c r="O78" s="23"/>
      <c r="P78" s="23"/>
      <c r="Q78" s="23"/>
      <c r="R78" s="64"/>
      <c r="S78" s="54"/>
      <c r="T78" s="42"/>
      <c r="U78" s="42"/>
      <c r="V78" s="47"/>
    </row>
    <row r="79" spans="1:22" ht="15.75" thickBot="1" x14ac:dyDescent="0.3">
      <c r="A79" s="134" t="s">
        <v>20</v>
      </c>
      <c r="B79" s="135"/>
      <c r="C79" s="135"/>
      <c r="D79" s="135"/>
      <c r="E79" s="135"/>
      <c r="F79" s="135"/>
      <c r="G79" s="23"/>
      <c r="H79" s="23"/>
      <c r="I79" s="23"/>
      <c r="J79" s="23"/>
      <c r="K79" s="23"/>
      <c r="L79" s="28">
        <f>L68-L70</f>
        <v>-64269.349999999977</v>
      </c>
      <c r="M79" s="23"/>
      <c r="N79" s="23"/>
      <c r="O79" s="23"/>
      <c r="P79" s="23"/>
      <c r="Q79" s="23"/>
      <c r="R79" s="64"/>
      <c r="S79" s="54"/>
      <c r="T79" s="42"/>
      <c r="U79" s="42"/>
      <c r="V79" s="47"/>
    </row>
    <row r="80" spans="1:22" x14ac:dyDescent="0.25">
      <c r="A80" s="90" t="s">
        <v>27</v>
      </c>
      <c r="B80" s="89">
        <v>3</v>
      </c>
      <c r="C80" s="7">
        <v>9</v>
      </c>
      <c r="D80" s="6">
        <v>2113.1999999999998</v>
      </c>
      <c r="E80" s="6">
        <v>329.3</v>
      </c>
      <c r="F80" s="6">
        <f t="shared" si="14"/>
        <v>2442.5</v>
      </c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27"/>
      <c r="S80" s="48"/>
      <c r="T80" s="36"/>
      <c r="U80" s="36"/>
      <c r="V80" s="40"/>
    </row>
    <row r="81" spans="1:22" s="3" customFormat="1" ht="21" hidden="1" customHeight="1" x14ac:dyDescent="0.25">
      <c r="A81" s="123" t="s">
        <v>30</v>
      </c>
      <c r="B81" s="124"/>
      <c r="C81" s="124"/>
      <c r="D81" s="124"/>
      <c r="E81" s="124"/>
      <c r="F81" s="124"/>
      <c r="G81" s="11">
        <f t="shared" ref="G81:R81" si="79">$F$80*G$8</f>
        <v>0</v>
      </c>
      <c r="H81" s="11">
        <f t="shared" si="79"/>
        <v>0</v>
      </c>
      <c r="I81" s="11">
        <f t="shared" si="79"/>
        <v>0</v>
      </c>
      <c r="J81" s="11">
        <f t="shared" si="79"/>
        <v>0</v>
      </c>
      <c r="K81" s="11">
        <f t="shared" si="79"/>
        <v>0</v>
      </c>
      <c r="L81" s="11">
        <f t="shared" si="79"/>
        <v>0</v>
      </c>
      <c r="M81" s="11">
        <f t="shared" si="79"/>
        <v>0</v>
      </c>
      <c r="N81" s="11">
        <f t="shared" si="79"/>
        <v>0</v>
      </c>
      <c r="O81" s="11">
        <f t="shared" si="79"/>
        <v>0</v>
      </c>
      <c r="P81" s="11">
        <f t="shared" si="79"/>
        <v>0</v>
      </c>
      <c r="Q81" s="11">
        <f t="shared" si="79"/>
        <v>0</v>
      </c>
      <c r="R81" s="61">
        <f t="shared" si="79"/>
        <v>0</v>
      </c>
      <c r="S81" s="50"/>
      <c r="T81" s="37"/>
      <c r="U81" s="37"/>
      <c r="V81" s="38"/>
    </row>
    <row r="82" spans="1:22" s="3" customFormat="1" ht="21" customHeight="1" x14ac:dyDescent="0.25">
      <c r="A82" s="123" t="s">
        <v>49</v>
      </c>
      <c r="B82" s="124"/>
      <c r="C82" s="124"/>
      <c r="D82" s="124"/>
      <c r="E82" s="124"/>
      <c r="F82" s="124"/>
      <c r="G82" s="11">
        <f t="shared" ref="G82:R82" si="80">$F$80*G$9</f>
        <v>8548.75</v>
      </c>
      <c r="H82" s="11">
        <f t="shared" si="80"/>
        <v>732.75</v>
      </c>
      <c r="I82" s="11">
        <f t="shared" si="80"/>
        <v>11650.724999999999</v>
      </c>
      <c r="J82" s="11">
        <f t="shared" si="80"/>
        <v>22446.574999999997</v>
      </c>
      <c r="K82" s="11">
        <f t="shared" si="80"/>
        <v>9354.7749999999996</v>
      </c>
      <c r="L82" s="11">
        <f t="shared" si="80"/>
        <v>11113.375</v>
      </c>
      <c r="M82" s="11">
        <f t="shared" si="80"/>
        <v>6521.4749999999995</v>
      </c>
      <c r="N82" s="11">
        <f t="shared" si="80"/>
        <v>7083.25</v>
      </c>
      <c r="O82" s="11">
        <f t="shared" si="80"/>
        <v>5104.8249999999998</v>
      </c>
      <c r="P82" s="11">
        <f t="shared" si="80"/>
        <v>7938.125</v>
      </c>
      <c r="Q82" s="11">
        <f t="shared" si="80"/>
        <v>8670.875</v>
      </c>
      <c r="R82" s="11">
        <f t="shared" si="80"/>
        <v>99165.499999999985</v>
      </c>
      <c r="S82" s="50"/>
      <c r="T82" s="37"/>
      <c r="U82" s="37"/>
      <c r="V82" s="38"/>
    </row>
    <row r="83" spans="1:22" s="3" customFormat="1" ht="21" customHeight="1" x14ac:dyDescent="0.25">
      <c r="A83" s="123" t="s">
        <v>76</v>
      </c>
      <c r="B83" s="124"/>
      <c r="C83" s="124"/>
      <c r="D83" s="124"/>
      <c r="E83" s="124"/>
      <c r="F83" s="124"/>
      <c r="G83" s="11">
        <f>$F$80*G$10</f>
        <v>8548.75</v>
      </c>
      <c r="H83" s="11">
        <f t="shared" ref="H83:R83" si="81">$F$80*H$10</f>
        <v>732.75</v>
      </c>
      <c r="I83" s="11">
        <f t="shared" si="81"/>
        <v>11650.724999999999</v>
      </c>
      <c r="J83" s="11">
        <f t="shared" si="81"/>
        <v>22446.574999999997</v>
      </c>
      <c r="K83" s="11">
        <f t="shared" si="81"/>
        <v>9354.7749999999996</v>
      </c>
      <c r="L83" s="11">
        <f t="shared" si="81"/>
        <v>11968.25</v>
      </c>
      <c r="M83" s="11">
        <f t="shared" si="81"/>
        <v>6521.4749999999995</v>
      </c>
      <c r="N83" s="11">
        <f t="shared" si="81"/>
        <v>7083.25</v>
      </c>
      <c r="O83" s="11">
        <f t="shared" si="81"/>
        <v>5104.8249999999998</v>
      </c>
      <c r="P83" s="11">
        <f t="shared" si="81"/>
        <v>7938.125</v>
      </c>
      <c r="Q83" s="11">
        <f t="shared" si="81"/>
        <v>12505.6</v>
      </c>
      <c r="R83" s="11">
        <f t="shared" si="81"/>
        <v>103855.09999999998</v>
      </c>
      <c r="S83" s="50"/>
      <c r="T83" s="37"/>
      <c r="U83" s="37"/>
      <c r="V83" s="38"/>
    </row>
    <row r="84" spans="1:22" s="8" customFormat="1" ht="21" customHeight="1" x14ac:dyDescent="0.25">
      <c r="A84" s="125" t="s">
        <v>19</v>
      </c>
      <c r="B84" s="126"/>
      <c r="C84" s="126"/>
      <c r="D84" s="126"/>
      <c r="E84" s="126"/>
      <c r="F84" s="126"/>
      <c r="G84" s="10">
        <f>G82*6+G83*6</f>
        <v>102585</v>
      </c>
      <c r="H84" s="10">
        <f t="shared" ref="H84" si="82">H82*6+H83*6</f>
        <v>8793</v>
      </c>
      <c r="I84" s="10">
        <f t="shared" ref="I84" si="83">I82*6+I83*6</f>
        <v>139808.69999999998</v>
      </c>
      <c r="J84" s="10">
        <f t="shared" ref="J84" si="84">J82*6+J83*6</f>
        <v>269358.89999999997</v>
      </c>
      <c r="K84" s="10">
        <f t="shared" ref="K84" si="85">K82*6+K83*6</f>
        <v>112257.29999999999</v>
      </c>
      <c r="L84" s="10">
        <f t="shared" ref="L84" si="86">L82*6+L83*6</f>
        <v>138489.75</v>
      </c>
      <c r="M84" s="10">
        <f t="shared" ref="M84" si="87">M82*6+M83*6</f>
        <v>78257.7</v>
      </c>
      <c r="N84" s="10">
        <f t="shared" ref="N84" si="88">N82*6+N83*6</f>
        <v>84999</v>
      </c>
      <c r="O84" s="10">
        <f t="shared" ref="O84" si="89">O82*6+O83*6</f>
        <v>61257.899999999994</v>
      </c>
      <c r="P84" s="10">
        <f t="shared" ref="P84" si="90">P82*6+P83*6</f>
        <v>95257.5</v>
      </c>
      <c r="Q84" s="10">
        <f t="shared" ref="Q84" si="91">Q82*6+Q83*6</f>
        <v>127058.85</v>
      </c>
      <c r="R84" s="10">
        <f t="shared" ref="R84" si="92">R82*6+R83*6</f>
        <v>1218123.5999999996</v>
      </c>
      <c r="S84" s="51"/>
      <c r="T84" s="38"/>
      <c r="U84" s="38"/>
      <c r="V84" s="38"/>
    </row>
    <row r="85" spans="1:22" ht="15" customHeight="1" x14ac:dyDescent="0.25">
      <c r="A85" s="127" t="s">
        <v>74</v>
      </c>
      <c r="B85" s="128"/>
      <c r="C85" s="128"/>
      <c r="D85" s="128"/>
      <c r="E85" s="128"/>
      <c r="F85" s="128"/>
      <c r="G85" s="21">
        <f>G84</f>
        <v>102585</v>
      </c>
      <c r="H85" s="21">
        <f t="shared" ref="H85:R85" si="93">H84</f>
        <v>8793</v>
      </c>
      <c r="I85" s="21">
        <f t="shared" si="93"/>
        <v>139808.69999999998</v>
      </c>
      <c r="J85" s="21">
        <f t="shared" si="93"/>
        <v>269358.89999999997</v>
      </c>
      <c r="K85" s="21">
        <f t="shared" si="93"/>
        <v>112257.29999999999</v>
      </c>
      <c r="L85" s="21">
        <f t="shared" si="93"/>
        <v>138489.75</v>
      </c>
      <c r="M85" s="21">
        <f t="shared" si="93"/>
        <v>78257.7</v>
      </c>
      <c r="N85" s="21">
        <f t="shared" si="93"/>
        <v>84999</v>
      </c>
      <c r="O85" s="21">
        <f t="shared" si="93"/>
        <v>61257.899999999994</v>
      </c>
      <c r="P85" s="21">
        <f t="shared" si="93"/>
        <v>95257.5</v>
      </c>
      <c r="Q85" s="21">
        <f t="shared" si="93"/>
        <v>127058.85</v>
      </c>
      <c r="R85" s="106">
        <f t="shared" si="93"/>
        <v>1218123.5999999996</v>
      </c>
      <c r="S85" s="49"/>
      <c r="T85" s="37">
        <f>129836.86+448210.92</f>
        <v>578047.78</v>
      </c>
      <c r="U85" s="37">
        <f>13039.36+45011.88</f>
        <v>58051.24</v>
      </c>
      <c r="V85" s="38"/>
    </row>
    <row r="86" spans="1:22" ht="15" customHeight="1" x14ac:dyDescent="0.25">
      <c r="A86" s="127" t="s">
        <v>75</v>
      </c>
      <c r="B86" s="128"/>
      <c r="C86" s="128"/>
      <c r="D86" s="128"/>
      <c r="E86" s="128"/>
      <c r="F86" s="128"/>
      <c r="G86" s="21">
        <f>$R86/$R85*G85</f>
        <v>102585</v>
      </c>
      <c r="H86" s="21">
        <f t="shared" ref="H86:K86" si="94">$R86/$R85*H85</f>
        <v>8793</v>
      </c>
      <c r="I86" s="21">
        <f t="shared" si="94"/>
        <v>139808.69999999998</v>
      </c>
      <c r="J86" s="21">
        <f t="shared" si="94"/>
        <v>269358.89999999997</v>
      </c>
      <c r="K86" s="21">
        <f t="shared" si="94"/>
        <v>112257.29999999999</v>
      </c>
      <c r="L86" s="21">
        <f>$R86/$R85*L85</f>
        <v>138489.75</v>
      </c>
      <c r="M86" s="21">
        <f t="shared" ref="M86" si="95">$R86/$R85*M85</f>
        <v>78257.7</v>
      </c>
      <c r="N86" s="21">
        <f t="shared" ref="N86" si="96">$R86/$R85*N85</f>
        <v>84999</v>
      </c>
      <c r="O86" s="21">
        <f t="shared" ref="O86" si="97">$R86/$R85*O85</f>
        <v>61257.899999999994</v>
      </c>
      <c r="P86" s="21">
        <f t="shared" ref="P86" si="98">$R86/$R85*P85</f>
        <v>95257.5</v>
      </c>
      <c r="Q86" s="21">
        <f>$R86/$R85*Q85</f>
        <v>127058.85</v>
      </c>
      <c r="R86" s="107">
        <f>R85-R87</f>
        <v>1218123.5999999996</v>
      </c>
      <c r="S86" s="49">
        <f>R86/R85*100</f>
        <v>100</v>
      </c>
      <c r="T86" s="37">
        <v>448167.86</v>
      </c>
      <c r="U86" s="37">
        <v>45007.86</v>
      </c>
      <c r="V86" s="38"/>
    </row>
    <row r="87" spans="1:22" ht="18.75" customHeight="1" x14ac:dyDescent="0.25">
      <c r="A87" s="121" t="s">
        <v>18</v>
      </c>
      <c r="B87" s="122"/>
      <c r="C87" s="122"/>
      <c r="D87" s="122"/>
      <c r="E87" s="122"/>
      <c r="F87" s="122"/>
      <c r="G87" s="21">
        <f>$R87/$R85*G85</f>
        <v>0</v>
      </c>
      <c r="H87" s="21">
        <f t="shared" ref="H87:K87" si="99">$R87/$R85*H85</f>
        <v>0</v>
      </c>
      <c r="I87" s="21">
        <f t="shared" si="99"/>
        <v>0</v>
      </c>
      <c r="J87" s="21">
        <f t="shared" si="99"/>
        <v>0</v>
      </c>
      <c r="K87" s="21">
        <f t="shared" si="99"/>
        <v>0</v>
      </c>
      <c r="L87" s="21">
        <f>$R87/$R85*L85</f>
        <v>0</v>
      </c>
      <c r="M87" s="21">
        <f t="shared" ref="M87:P87" si="100">$R87/$R85*M85</f>
        <v>0</v>
      </c>
      <c r="N87" s="21">
        <f t="shared" si="100"/>
        <v>0</v>
      </c>
      <c r="O87" s="21">
        <f t="shared" si="100"/>
        <v>0</v>
      </c>
      <c r="P87" s="21">
        <f t="shared" si="100"/>
        <v>0</v>
      </c>
      <c r="Q87" s="21">
        <f t="shared" ref="Q87" si="101">$R87/$R85*Q85</f>
        <v>0</v>
      </c>
      <c r="R87" s="108"/>
      <c r="S87" s="49"/>
      <c r="T87" s="37">
        <f>T85-T86</f>
        <v>129879.92000000004</v>
      </c>
      <c r="U87" s="37">
        <f>U85-U86</f>
        <v>13043.379999999997</v>
      </c>
      <c r="V87" s="38">
        <f>T87+U87</f>
        <v>142923.30000000005</v>
      </c>
    </row>
    <row r="88" spans="1:22" x14ac:dyDescent="0.25">
      <c r="A88" s="132" t="s">
        <v>17</v>
      </c>
      <c r="B88" s="133"/>
      <c r="C88" s="133"/>
      <c r="D88" s="133"/>
      <c r="E88" s="133"/>
      <c r="F88" s="133"/>
      <c r="G88" s="9"/>
      <c r="H88" s="9"/>
      <c r="I88" s="9"/>
      <c r="J88" s="9"/>
      <c r="K88" s="9"/>
      <c r="L88" s="10">
        <f>L89+L90+L91+L92+L93+L94+L95+L96</f>
        <v>34319.877999999997</v>
      </c>
      <c r="M88" s="9"/>
      <c r="N88" s="9"/>
      <c r="O88" s="9"/>
      <c r="P88" s="9"/>
      <c r="Q88" s="9"/>
      <c r="R88" s="62"/>
      <c r="S88" s="49"/>
      <c r="T88" s="37"/>
      <c r="U88" s="37"/>
      <c r="V88" s="38"/>
    </row>
    <row r="89" spans="1:22" ht="15" customHeight="1" x14ac:dyDescent="0.25">
      <c r="A89" s="118" t="s">
        <v>50</v>
      </c>
      <c r="B89" s="119"/>
      <c r="C89" s="119"/>
      <c r="D89" s="119"/>
      <c r="E89" s="119"/>
      <c r="F89" s="120"/>
      <c r="G89" s="23"/>
      <c r="H89" s="23"/>
      <c r="I89" s="23"/>
      <c r="J89" s="23"/>
      <c r="K89" s="23"/>
      <c r="L89" s="111">
        <f>1127.04/5</f>
        <v>225.40799999999999</v>
      </c>
      <c r="M89" s="9"/>
      <c r="N89" s="9"/>
      <c r="O89" s="9"/>
      <c r="P89" s="9"/>
      <c r="Q89" s="9"/>
      <c r="R89" s="62"/>
      <c r="S89" s="49"/>
      <c r="T89" s="37"/>
      <c r="U89" s="37"/>
      <c r="V89" s="38"/>
    </row>
    <row r="90" spans="1:22" ht="16.5" customHeight="1" x14ac:dyDescent="0.25">
      <c r="A90" s="118" t="s">
        <v>57</v>
      </c>
      <c r="B90" s="119"/>
      <c r="C90" s="119"/>
      <c r="D90" s="119"/>
      <c r="E90" s="119"/>
      <c r="F90" s="120"/>
      <c r="G90" s="23"/>
      <c r="H90" s="23"/>
      <c r="I90" s="23"/>
      <c r="J90" s="23"/>
      <c r="K90" s="23"/>
      <c r="L90" s="112">
        <v>22007</v>
      </c>
      <c r="M90" s="23"/>
      <c r="N90" s="23"/>
      <c r="O90" s="23"/>
      <c r="P90" s="23"/>
      <c r="Q90" s="23"/>
      <c r="R90" s="64"/>
      <c r="S90" s="54"/>
      <c r="T90" s="42"/>
      <c r="U90" s="42"/>
      <c r="V90" s="47"/>
    </row>
    <row r="91" spans="1:22" ht="19.5" customHeight="1" x14ac:dyDescent="0.25">
      <c r="A91" s="118" t="s">
        <v>82</v>
      </c>
      <c r="B91" s="119"/>
      <c r="C91" s="119"/>
      <c r="D91" s="119"/>
      <c r="E91" s="119"/>
      <c r="F91" s="120"/>
      <c r="G91" s="23"/>
      <c r="H91" s="23"/>
      <c r="I91" s="23"/>
      <c r="J91" s="23"/>
      <c r="K91" s="23"/>
      <c r="L91" s="112">
        <v>12087.47</v>
      </c>
      <c r="M91" s="23"/>
      <c r="N91" s="23"/>
      <c r="O91" s="23"/>
      <c r="P91" s="23"/>
      <c r="Q91" s="23"/>
      <c r="R91" s="64"/>
      <c r="S91" s="54"/>
      <c r="T91" s="42"/>
      <c r="U91" s="42"/>
      <c r="V91" s="47"/>
    </row>
    <row r="92" spans="1:22" ht="30" customHeight="1" x14ac:dyDescent="0.25">
      <c r="A92" s="118"/>
      <c r="B92" s="119"/>
      <c r="C92" s="119"/>
      <c r="D92" s="119"/>
      <c r="E92" s="119"/>
      <c r="F92" s="120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64"/>
      <c r="S92" s="54"/>
      <c r="T92" s="42"/>
      <c r="U92" s="42"/>
      <c r="V92" s="47"/>
    </row>
    <row r="93" spans="1:22" ht="42.75" customHeight="1" x14ac:dyDescent="0.25">
      <c r="A93" s="118"/>
      <c r="B93" s="119"/>
      <c r="C93" s="119"/>
      <c r="D93" s="119"/>
      <c r="E93" s="119"/>
      <c r="F93" s="120"/>
      <c r="G93" s="23"/>
      <c r="H93" s="23"/>
      <c r="I93" s="23"/>
      <c r="J93" s="23"/>
      <c r="K93" s="23"/>
      <c r="L93" s="34"/>
      <c r="M93" s="23"/>
      <c r="N93" s="23"/>
      <c r="O93" s="23"/>
      <c r="P93" s="23"/>
      <c r="Q93" s="23"/>
      <c r="R93" s="64"/>
      <c r="S93" s="54"/>
      <c r="T93" s="42"/>
      <c r="U93" s="42"/>
      <c r="V93" s="47"/>
    </row>
    <row r="94" spans="1:22" ht="21" customHeight="1" x14ac:dyDescent="0.25">
      <c r="A94" s="118"/>
      <c r="B94" s="119"/>
      <c r="C94" s="119"/>
      <c r="D94" s="119"/>
      <c r="E94" s="119"/>
      <c r="F94" s="120"/>
      <c r="G94" s="23"/>
      <c r="H94" s="23"/>
      <c r="I94" s="23"/>
      <c r="J94" s="23"/>
      <c r="K94" s="23"/>
      <c r="L94" s="34"/>
      <c r="M94" s="23"/>
      <c r="N94" s="23"/>
      <c r="O94" s="23"/>
      <c r="P94" s="23"/>
      <c r="Q94" s="23"/>
      <c r="R94" s="64"/>
      <c r="S94" s="54"/>
      <c r="T94" s="42"/>
      <c r="U94" s="42"/>
      <c r="V94" s="47"/>
    </row>
    <row r="95" spans="1:22" ht="21" customHeight="1" x14ac:dyDescent="0.25">
      <c r="A95" s="118"/>
      <c r="B95" s="119"/>
      <c r="C95" s="119"/>
      <c r="D95" s="119"/>
      <c r="E95" s="119"/>
      <c r="F95" s="120"/>
      <c r="G95" s="23"/>
      <c r="H95" s="23"/>
      <c r="I95" s="23"/>
      <c r="J95" s="23"/>
      <c r="K95" s="23"/>
      <c r="L95" s="34"/>
      <c r="M95" s="23"/>
      <c r="N95" s="23"/>
      <c r="O95" s="23"/>
      <c r="P95" s="23"/>
      <c r="Q95" s="23"/>
      <c r="R95" s="64"/>
      <c r="S95" s="54"/>
      <c r="T95" s="42"/>
      <c r="U95" s="42"/>
      <c r="V95" s="47"/>
    </row>
    <row r="96" spans="1:22" ht="33" customHeight="1" x14ac:dyDescent="0.25">
      <c r="A96" s="118"/>
      <c r="B96" s="119"/>
      <c r="C96" s="119"/>
      <c r="D96" s="119"/>
      <c r="E96" s="119"/>
      <c r="F96" s="120"/>
      <c r="G96" s="23"/>
      <c r="H96" s="23"/>
      <c r="I96" s="23"/>
      <c r="J96" s="23"/>
      <c r="K96" s="23"/>
      <c r="L96" s="34"/>
      <c r="M96" s="23"/>
      <c r="N96" s="23"/>
      <c r="O96" s="23"/>
      <c r="P96" s="23"/>
      <c r="Q96" s="23"/>
      <c r="R96" s="64"/>
      <c r="S96" s="54"/>
      <c r="T96" s="42"/>
      <c r="U96" s="42"/>
      <c r="V96" s="47"/>
    </row>
    <row r="97" spans="1:22" ht="15.75" thickBot="1" x14ac:dyDescent="0.3">
      <c r="A97" s="136" t="s">
        <v>20</v>
      </c>
      <c r="B97" s="137"/>
      <c r="C97" s="137"/>
      <c r="D97" s="137"/>
      <c r="E97" s="137"/>
      <c r="F97" s="137"/>
      <c r="G97" s="14"/>
      <c r="H97" s="14"/>
      <c r="I97" s="14"/>
      <c r="J97" s="14"/>
      <c r="K97" s="14"/>
      <c r="L97" s="26">
        <f>L86-L88</f>
        <v>104169.872</v>
      </c>
      <c r="M97" s="14"/>
      <c r="N97" s="14"/>
      <c r="O97" s="14"/>
      <c r="P97" s="14"/>
      <c r="Q97" s="14"/>
      <c r="R97" s="63"/>
      <c r="S97" s="52"/>
      <c r="T97" s="39"/>
      <c r="U97" s="39"/>
      <c r="V97" s="45"/>
    </row>
    <row r="98" spans="1:22" x14ac:dyDescent="0.25">
      <c r="A98" s="91" t="s">
        <v>27</v>
      </c>
      <c r="B98" s="87" t="s">
        <v>31</v>
      </c>
      <c r="C98" s="12">
        <v>9</v>
      </c>
      <c r="D98" s="13">
        <v>2364.5</v>
      </c>
      <c r="E98" s="13"/>
      <c r="F98" s="13">
        <f t="shared" si="14"/>
        <v>2364.5</v>
      </c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65"/>
      <c r="S98" s="55"/>
      <c r="T98" s="41"/>
      <c r="U98" s="41"/>
      <c r="V98" s="46"/>
    </row>
    <row r="99" spans="1:22" s="3" customFormat="1" ht="21" hidden="1" customHeight="1" x14ac:dyDescent="0.25">
      <c r="A99" s="123" t="s">
        <v>30</v>
      </c>
      <c r="B99" s="124"/>
      <c r="C99" s="124"/>
      <c r="D99" s="124"/>
      <c r="E99" s="124"/>
      <c r="F99" s="124"/>
      <c r="G99" s="11">
        <f t="shared" ref="G99:R99" si="102">$F$98*G$8</f>
        <v>0</v>
      </c>
      <c r="H99" s="11">
        <f t="shared" si="102"/>
        <v>0</v>
      </c>
      <c r="I99" s="11">
        <f t="shared" si="102"/>
        <v>0</v>
      </c>
      <c r="J99" s="11">
        <f t="shared" si="102"/>
        <v>0</v>
      </c>
      <c r="K99" s="11">
        <f t="shared" si="102"/>
        <v>0</v>
      </c>
      <c r="L99" s="11">
        <f t="shared" si="102"/>
        <v>0</v>
      </c>
      <c r="M99" s="11">
        <f t="shared" si="102"/>
        <v>0</v>
      </c>
      <c r="N99" s="11">
        <f t="shared" si="102"/>
        <v>0</v>
      </c>
      <c r="O99" s="11">
        <f t="shared" si="102"/>
        <v>0</v>
      </c>
      <c r="P99" s="11">
        <f t="shared" si="102"/>
        <v>0</v>
      </c>
      <c r="Q99" s="11">
        <f t="shared" si="102"/>
        <v>0</v>
      </c>
      <c r="R99" s="61">
        <f t="shared" si="102"/>
        <v>0</v>
      </c>
      <c r="S99" s="50"/>
      <c r="T99" s="37"/>
      <c r="U99" s="37"/>
      <c r="V99" s="38"/>
    </row>
    <row r="100" spans="1:22" s="3" customFormat="1" ht="21" customHeight="1" x14ac:dyDescent="0.25">
      <c r="A100" s="123" t="s">
        <v>49</v>
      </c>
      <c r="B100" s="124"/>
      <c r="C100" s="124"/>
      <c r="D100" s="124"/>
      <c r="E100" s="124"/>
      <c r="F100" s="124"/>
      <c r="G100" s="11">
        <f t="shared" ref="G100:R100" si="103">$F$98*G$9</f>
        <v>8275.75</v>
      </c>
      <c r="H100" s="11">
        <f t="shared" si="103"/>
        <v>709.35</v>
      </c>
      <c r="I100" s="11">
        <f t="shared" si="103"/>
        <v>11278.664999999999</v>
      </c>
      <c r="J100" s="11">
        <f t="shared" si="103"/>
        <v>21729.754999999997</v>
      </c>
      <c r="K100" s="11">
        <f t="shared" si="103"/>
        <v>9056.0349999999999</v>
      </c>
      <c r="L100" s="11">
        <f t="shared" si="103"/>
        <v>10758.475</v>
      </c>
      <c r="M100" s="11">
        <f t="shared" si="103"/>
        <v>6313.2150000000001</v>
      </c>
      <c r="N100" s="11">
        <f t="shared" si="103"/>
        <v>6857.05</v>
      </c>
      <c r="O100" s="11">
        <f t="shared" si="103"/>
        <v>4941.8049999999994</v>
      </c>
      <c r="P100" s="11">
        <f t="shared" si="103"/>
        <v>7684.625</v>
      </c>
      <c r="Q100" s="11">
        <f t="shared" si="103"/>
        <v>8393.9750000000004</v>
      </c>
      <c r="R100" s="11">
        <f t="shared" si="103"/>
        <v>95998.699999999983</v>
      </c>
      <c r="S100" s="50"/>
      <c r="T100" s="37"/>
      <c r="U100" s="37"/>
      <c r="V100" s="38"/>
    </row>
    <row r="101" spans="1:22" s="3" customFormat="1" ht="21" customHeight="1" x14ac:dyDescent="0.25">
      <c r="A101" s="123" t="s">
        <v>76</v>
      </c>
      <c r="B101" s="124"/>
      <c r="C101" s="124"/>
      <c r="D101" s="124"/>
      <c r="E101" s="124"/>
      <c r="F101" s="124"/>
      <c r="G101" s="11">
        <f>$F$98*G$10</f>
        <v>8275.75</v>
      </c>
      <c r="H101" s="11">
        <f t="shared" ref="H101:R101" si="104">$F$98*H$10</f>
        <v>709.35</v>
      </c>
      <c r="I101" s="11">
        <f t="shared" si="104"/>
        <v>11278.664999999999</v>
      </c>
      <c r="J101" s="11">
        <f t="shared" si="104"/>
        <v>21729.754999999997</v>
      </c>
      <c r="K101" s="11">
        <f t="shared" si="104"/>
        <v>9056.0349999999999</v>
      </c>
      <c r="L101" s="11">
        <f t="shared" si="104"/>
        <v>11586.050000000001</v>
      </c>
      <c r="M101" s="11">
        <f t="shared" si="104"/>
        <v>6313.2150000000001</v>
      </c>
      <c r="N101" s="11">
        <f t="shared" si="104"/>
        <v>6857.05</v>
      </c>
      <c r="O101" s="11">
        <f t="shared" si="104"/>
        <v>4941.8049999999994</v>
      </c>
      <c r="P101" s="11">
        <f t="shared" si="104"/>
        <v>7684.625</v>
      </c>
      <c r="Q101" s="11">
        <f t="shared" si="104"/>
        <v>12106.24</v>
      </c>
      <c r="R101" s="11">
        <f t="shared" si="104"/>
        <v>100538.53999999998</v>
      </c>
      <c r="S101" s="50"/>
      <c r="T101" s="37"/>
      <c r="U101" s="37"/>
      <c r="V101" s="38"/>
    </row>
    <row r="102" spans="1:22" s="8" customFormat="1" ht="21" customHeight="1" x14ac:dyDescent="0.25">
      <c r="A102" s="125" t="s">
        <v>19</v>
      </c>
      <c r="B102" s="126"/>
      <c r="C102" s="126"/>
      <c r="D102" s="126"/>
      <c r="E102" s="126"/>
      <c r="F102" s="126"/>
      <c r="G102" s="10">
        <f>G100*6+G101*6</f>
        <v>99309</v>
      </c>
      <c r="H102" s="10">
        <f t="shared" ref="H102" si="105">H100*6+H101*6</f>
        <v>8512.2000000000007</v>
      </c>
      <c r="I102" s="10">
        <f t="shared" ref="I102" si="106">I100*6+I101*6</f>
        <v>135343.97999999998</v>
      </c>
      <c r="J102" s="10">
        <f t="shared" ref="J102" si="107">J100*6+J101*6</f>
        <v>260757.05999999997</v>
      </c>
      <c r="K102" s="10">
        <f t="shared" ref="K102" si="108">K100*6+K101*6</f>
        <v>108672.42</v>
      </c>
      <c r="L102" s="10">
        <f t="shared" ref="L102" si="109">L100*6+L101*6</f>
        <v>134067.15000000002</v>
      </c>
      <c r="M102" s="10">
        <f t="shared" ref="M102" si="110">M100*6+M101*6</f>
        <v>75758.58</v>
      </c>
      <c r="N102" s="10">
        <f t="shared" ref="N102" si="111">N100*6+N101*6</f>
        <v>82284.600000000006</v>
      </c>
      <c r="O102" s="10">
        <f t="shared" ref="O102" si="112">O100*6+O101*6</f>
        <v>59301.659999999989</v>
      </c>
      <c r="P102" s="10">
        <f t="shared" ref="P102" si="113">P100*6+P101*6</f>
        <v>92215.5</v>
      </c>
      <c r="Q102" s="10">
        <f t="shared" ref="Q102" si="114">Q100*6+Q101*6</f>
        <v>123001.29000000001</v>
      </c>
      <c r="R102" s="10">
        <f t="shared" ref="R102" si="115">R100*6+R101*6</f>
        <v>1179223.44</v>
      </c>
      <c r="S102" s="51"/>
      <c r="T102" s="38"/>
      <c r="U102" s="38"/>
      <c r="V102" s="38"/>
    </row>
    <row r="103" spans="1:22" ht="15" customHeight="1" x14ac:dyDescent="0.25">
      <c r="A103" s="127" t="s">
        <v>74</v>
      </c>
      <c r="B103" s="128"/>
      <c r="C103" s="128"/>
      <c r="D103" s="128"/>
      <c r="E103" s="128"/>
      <c r="F103" s="128"/>
      <c r="G103" s="21">
        <f>G102</f>
        <v>99309</v>
      </c>
      <c r="H103" s="21">
        <f t="shared" ref="H103:R103" si="116">H102</f>
        <v>8512.2000000000007</v>
      </c>
      <c r="I103" s="21">
        <f t="shared" si="116"/>
        <v>135343.97999999998</v>
      </c>
      <c r="J103" s="21">
        <f t="shared" si="116"/>
        <v>260757.05999999997</v>
      </c>
      <c r="K103" s="21">
        <f t="shared" si="116"/>
        <v>108672.42</v>
      </c>
      <c r="L103" s="21">
        <f t="shared" si="116"/>
        <v>134067.15000000002</v>
      </c>
      <c r="M103" s="21">
        <f t="shared" si="116"/>
        <v>75758.58</v>
      </c>
      <c r="N103" s="21">
        <f t="shared" si="116"/>
        <v>82284.600000000006</v>
      </c>
      <c r="O103" s="21">
        <f t="shared" si="116"/>
        <v>59301.659999999989</v>
      </c>
      <c r="P103" s="21">
        <f t="shared" si="116"/>
        <v>92215.5</v>
      </c>
      <c r="Q103" s="21">
        <f t="shared" si="116"/>
        <v>123001.29000000001</v>
      </c>
      <c r="R103" s="106">
        <f t="shared" si="116"/>
        <v>1179223.44</v>
      </c>
      <c r="S103" s="49"/>
      <c r="T103" s="37">
        <f>144666.86+501511.62</f>
        <v>646178.48</v>
      </c>
      <c r="U103" s="37">
        <f>14528.26+50364.6</f>
        <v>64892.86</v>
      </c>
      <c r="V103" s="38"/>
    </row>
    <row r="104" spans="1:22" ht="15.75" customHeight="1" x14ac:dyDescent="0.25">
      <c r="A104" s="127" t="s">
        <v>75</v>
      </c>
      <c r="B104" s="128"/>
      <c r="C104" s="128"/>
      <c r="D104" s="128"/>
      <c r="E104" s="128"/>
      <c r="F104" s="128"/>
      <c r="G104" s="21">
        <f>$R104/$R103*G103</f>
        <v>99309</v>
      </c>
      <c r="H104" s="21">
        <f t="shared" ref="H104" si="117">$R104/$R103*H103</f>
        <v>8512.2000000000007</v>
      </c>
      <c r="I104" s="21">
        <f t="shared" ref="I104:K104" si="118">$R104/$R103*I103</f>
        <v>135343.97999999998</v>
      </c>
      <c r="J104" s="21">
        <f t="shared" si="118"/>
        <v>260757.05999999997</v>
      </c>
      <c r="K104" s="21">
        <f t="shared" si="118"/>
        <v>108672.42</v>
      </c>
      <c r="L104" s="21">
        <f t="shared" ref="L104" si="119">$R104/$R103*L103</f>
        <v>134067.15000000002</v>
      </c>
      <c r="M104" s="21">
        <f t="shared" ref="M104" si="120">$R104/$R103*M103</f>
        <v>75758.58</v>
      </c>
      <c r="N104" s="21">
        <f t="shared" ref="N104" si="121">$R104/$R103*N103</f>
        <v>82284.600000000006</v>
      </c>
      <c r="O104" s="21">
        <f t="shared" ref="O104:P104" si="122">$R104/$R103*O103</f>
        <v>59301.659999999989</v>
      </c>
      <c r="P104" s="21">
        <f t="shared" si="122"/>
        <v>92215.5</v>
      </c>
      <c r="Q104" s="21">
        <f t="shared" ref="Q104" si="123">$R104/$R103*Q103</f>
        <v>123001.29000000001</v>
      </c>
      <c r="R104" s="107">
        <f>R103-R105</f>
        <v>1179223.44</v>
      </c>
      <c r="S104" s="49">
        <f>R104/R103*100</f>
        <v>100</v>
      </c>
      <c r="T104" s="37">
        <v>513363.44</v>
      </c>
      <c r="U104" s="37">
        <v>51611.15</v>
      </c>
      <c r="V104" s="38"/>
    </row>
    <row r="105" spans="1:22" ht="18.75" customHeight="1" x14ac:dyDescent="0.25">
      <c r="A105" s="121" t="s">
        <v>18</v>
      </c>
      <c r="B105" s="122"/>
      <c r="C105" s="122"/>
      <c r="D105" s="122"/>
      <c r="E105" s="122"/>
      <c r="F105" s="122"/>
      <c r="G105" s="21">
        <f>$R105/$R103*G103</f>
        <v>0</v>
      </c>
      <c r="H105" s="21">
        <f>$R105/$R103*H103</f>
        <v>0</v>
      </c>
      <c r="I105" s="21">
        <f t="shared" ref="I105:N105" si="124">$R105/$R103*I103</f>
        <v>0</v>
      </c>
      <c r="J105" s="21">
        <f t="shared" ref="J105:K105" si="125">$R105/$R103*J103</f>
        <v>0</v>
      </c>
      <c r="K105" s="21">
        <f t="shared" si="125"/>
        <v>0</v>
      </c>
      <c r="L105" s="21">
        <f t="shared" si="124"/>
        <v>0</v>
      </c>
      <c r="M105" s="21">
        <f t="shared" si="124"/>
        <v>0</v>
      </c>
      <c r="N105" s="21">
        <f t="shared" si="124"/>
        <v>0</v>
      </c>
      <c r="O105" s="21">
        <f>$R105/$R103*O103</f>
        <v>0</v>
      </c>
      <c r="P105" s="21">
        <f>$R105/$R103*P103</f>
        <v>0</v>
      </c>
      <c r="Q105" s="21">
        <f t="shared" ref="Q105" si="126">$R105/$R103*Q103</f>
        <v>0</v>
      </c>
      <c r="R105" s="108"/>
      <c r="S105" s="49"/>
      <c r="T105" s="37">
        <f>T103-T104</f>
        <v>132815.03999999998</v>
      </c>
      <c r="U105" s="37">
        <f>U103-U104</f>
        <v>13281.71</v>
      </c>
      <c r="V105" s="38">
        <f>T105+U105</f>
        <v>146096.74999999997</v>
      </c>
    </row>
    <row r="106" spans="1:22" x14ac:dyDescent="0.25">
      <c r="A106" s="132" t="s">
        <v>17</v>
      </c>
      <c r="B106" s="133"/>
      <c r="C106" s="133"/>
      <c r="D106" s="133"/>
      <c r="E106" s="133"/>
      <c r="F106" s="133"/>
      <c r="G106" s="9"/>
      <c r="H106" s="9"/>
      <c r="I106" s="9"/>
      <c r="J106" s="9"/>
      <c r="K106" s="9"/>
      <c r="L106" s="10">
        <f>L107+L108+L109+L110+L111+L112</f>
        <v>198143.05799999999</v>
      </c>
      <c r="M106" s="9"/>
      <c r="N106" s="9"/>
      <c r="O106" s="9"/>
      <c r="P106" s="9"/>
      <c r="Q106" s="9"/>
      <c r="R106" s="62"/>
      <c r="S106" s="49"/>
      <c r="T106" s="37"/>
      <c r="U106" s="37"/>
      <c r="V106" s="38"/>
    </row>
    <row r="107" spans="1:22" ht="15" customHeight="1" x14ac:dyDescent="0.25">
      <c r="A107" s="118" t="s">
        <v>50</v>
      </c>
      <c r="B107" s="119"/>
      <c r="C107" s="119"/>
      <c r="D107" s="119"/>
      <c r="E107" s="119"/>
      <c r="F107" s="120"/>
      <c r="G107" s="23"/>
      <c r="H107" s="23"/>
      <c r="I107" s="23"/>
      <c r="J107" s="23"/>
      <c r="K107" s="23"/>
      <c r="L107" s="111">
        <f>1127.04/5</f>
        <v>225.40799999999999</v>
      </c>
      <c r="M107" s="9"/>
      <c r="N107" s="9"/>
      <c r="O107" s="9"/>
      <c r="P107" s="9"/>
      <c r="Q107" s="9"/>
      <c r="R107" s="62"/>
      <c r="S107" s="49"/>
      <c r="T107" s="37"/>
      <c r="U107" s="37"/>
      <c r="V107" s="38"/>
    </row>
    <row r="108" spans="1:22" ht="16.5" customHeight="1" x14ac:dyDescent="0.25">
      <c r="A108" s="118" t="s">
        <v>92</v>
      </c>
      <c r="B108" s="119"/>
      <c r="C108" s="119"/>
      <c r="D108" s="119"/>
      <c r="E108" s="119"/>
      <c r="F108" s="120"/>
      <c r="G108" s="23"/>
      <c r="H108" s="23"/>
      <c r="I108" s="23"/>
      <c r="J108" s="23"/>
      <c r="K108" s="23"/>
      <c r="L108" s="115">
        <v>197917.65</v>
      </c>
      <c r="M108" s="23"/>
      <c r="N108" s="23"/>
      <c r="O108" s="23"/>
      <c r="P108" s="23"/>
      <c r="Q108" s="23"/>
      <c r="R108" s="64"/>
      <c r="S108" s="54"/>
      <c r="T108" s="42"/>
      <c r="U108" s="42"/>
      <c r="V108" s="47"/>
    </row>
    <row r="109" spans="1:22" ht="21" customHeight="1" x14ac:dyDescent="0.25">
      <c r="A109" s="118"/>
      <c r="B109" s="119"/>
      <c r="C109" s="119"/>
      <c r="D109" s="119"/>
      <c r="E109" s="119"/>
      <c r="F109" s="120"/>
      <c r="G109" s="23"/>
      <c r="H109" s="23"/>
      <c r="I109" s="23"/>
      <c r="J109" s="23"/>
      <c r="K109" s="23"/>
      <c r="L109" s="34"/>
      <c r="M109" s="23"/>
      <c r="N109" s="23"/>
      <c r="O109" s="23"/>
      <c r="P109" s="23"/>
      <c r="Q109" s="23"/>
      <c r="R109" s="64"/>
      <c r="S109" s="54"/>
      <c r="T109" s="42"/>
      <c r="U109" s="42"/>
      <c r="V109" s="47"/>
    </row>
    <row r="110" spans="1:22" ht="21" customHeight="1" x14ac:dyDescent="0.25">
      <c r="A110" s="118"/>
      <c r="B110" s="119"/>
      <c r="C110" s="119"/>
      <c r="D110" s="119"/>
      <c r="E110" s="119"/>
      <c r="F110" s="120"/>
      <c r="G110" s="23"/>
      <c r="H110" s="23"/>
      <c r="I110" s="23"/>
      <c r="J110" s="23"/>
      <c r="K110" s="23"/>
      <c r="L110" s="34"/>
      <c r="M110" s="23"/>
      <c r="N110" s="23"/>
      <c r="O110" s="23"/>
      <c r="P110" s="23"/>
      <c r="Q110" s="23"/>
      <c r="R110" s="64"/>
      <c r="S110" s="54"/>
      <c r="T110" s="42"/>
      <c r="U110" s="42"/>
      <c r="V110" s="47"/>
    </row>
    <row r="111" spans="1:22" ht="33" customHeight="1" x14ac:dyDescent="0.25">
      <c r="A111" s="118"/>
      <c r="B111" s="119"/>
      <c r="C111" s="119"/>
      <c r="D111" s="119"/>
      <c r="E111" s="119"/>
      <c r="F111" s="120"/>
      <c r="G111" s="23"/>
      <c r="H111" s="23"/>
      <c r="I111" s="23"/>
      <c r="J111" s="23"/>
      <c r="K111" s="23"/>
      <c r="L111" s="34"/>
      <c r="M111" s="23"/>
      <c r="N111" s="23"/>
      <c r="O111" s="23"/>
      <c r="P111" s="23"/>
      <c r="Q111" s="23"/>
      <c r="R111" s="64"/>
      <c r="S111" s="54"/>
      <c r="T111" s="42"/>
      <c r="U111" s="42"/>
      <c r="V111" s="47"/>
    </row>
    <row r="112" spans="1:22" ht="21" customHeight="1" x14ac:dyDescent="0.25">
      <c r="A112" s="118"/>
      <c r="B112" s="119"/>
      <c r="C112" s="119"/>
      <c r="D112" s="119"/>
      <c r="E112" s="119"/>
      <c r="F112" s="120"/>
      <c r="G112" s="23"/>
      <c r="H112" s="23"/>
      <c r="I112" s="23"/>
      <c r="J112" s="23"/>
      <c r="K112" s="23"/>
      <c r="L112" s="34"/>
      <c r="M112" s="23"/>
      <c r="N112" s="23"/>
      <c r="O112" s="23"/>
      <c r="P112" s="23"/>
      <c r="Q112" s="23"/>
      <c r="R112" s="64"/>
      <c r="S112" s="54"/>
      <c r="T112" s="42"/>
      <c r="U112" s="42"/>
      <c r="V112" s="47"/>
    </row>
    <row r="113" spans="1:22" ht="15.75" thickBot="1" x14ac:dyDescent="0.3">
      <c r="A113" s="134" t="s">
        <v>20</v>
      </c>
      <c r="B113" s="135"/>
      <c r="C113" s="135"/>
      <c r="D113" s="135"/>
      <c r="E113" s="135"/>
      <c r="F113" s="135"/>
      <c r="G113" s="23"/>
      <c r="H113" s="23"/>
      <c r="I113" s="23"/>
      <c r="J113" s="23"/>
      <c r="K113" s="23"/>
      <c r="L113" s="28">
        <f>L104-L106</f>
        <v>-64075.907999999967</v>
      </c>
      <c r="M113" s="23"/>
      <c r="N113" s="23"/>
      <c r="O113" s="23"/>
      <c r="P113" s="23"/>
      <c r="Q113" s="23"/>
      <c r="R113" s="64"/>
      <c r="S113" s="54"/>
      <c r="T113" s="42"/>
      <c r="U113" s="42"/>
      <c r="V113" s="47"/>
    </row>
    <row r="114" spans="1:22" x14ac:dyDescent="0.25">
      <c r="A114" s="90" t="s">
        <v>27</v>
      </c>
      <c r="B114" s="89">
        <v>21</v>
      </c>
      <c r="C114" s="7">
        <v>9</v>
      </c>
      <c r="D114" s="6">
        <v>3833.9</v>
      </c>
      <c r="E114" s="6">
        <v>61.1</v>
      </c>
      <c r="F114" s="6">
        <f t="shared" si="14"/>
        <v>3895</v>
      </c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27"/>
      <c r="S114" s="48"/>
      <c r="T114" s="36"/>
      <c r="U114" s="36"/>
      <c r="V114" s="40"/>
    </row>
    <row r="115" spans="1:22" s="3" customFormat="1" ht="21" hidden="1" customHeight="1" x14ac:dyDescent="0.25">
      <c r="A115" s="123" t="s">
        <v>30</v>
      </c>
      <c r="B115" s="124"/>
      <c r="C115" s="124"/>
      <c r="D115" s="124"/>
      <c r="E115" s="124"/>
      <c r="F115" s="124"/>
      <c r="G115" s="11">
        <f t="shared" ref="G115:R115" si="127">$F$114*G$8</f>
        <v>0</v>
      </c>
      <c r="H115" s="11">
        <f t="shared" si="127"/>
        <v>0</v>
      </c>
      <c r="I115" s="11">
        <f t="shared" si="127"/>
        <v>0</v>
      </c>
      <c r="J115" s="11">
        <f t="shared" si="127"/>
        <v>0</v>
      </c>
      <c r="K115" s="11">
        <f t="shared" si="127"/>
        <v>0</v>
      </c>
      <c r="L115" s="11">
        <f t="shared" si="127"/>
        <v>0</v>
      </c>
      <c r="M115" s="11">
        <f t="shared" si="127"/>
        <v>0</v>
      </c>
      <c r="N115" s="11">
        <f t="shared" si="127"/>
        <v>0</v>
      </c>
      <c r="O115" s="11">
        <f t="shared" si="127"/>
        <v>0</v>
      </c>
      <c r="P115" s="11">
        <f t="shared" si="127"/>
        <v>0</v>
      </c>
      <c r="Q115" s="11">
        <f t="shared" si="127"/>
        <v>0</v>
      </c>
      <c r="R115" s="61">
        <f t="shared" si="127"/>
        <v>0</v>
      </c>
      <c r="S115" s="50"/>
      <c r="T115" s="37"/>
      <c r="U115" s="37"/>
      <c r="V115" s="38"/>
    </row>
    <row r="116" spans="1:22" s="3" customFormat="1" ht="21" customHeight="1" x14ac:dyDescent="0.25">
      <c r="A116" s="123" t="s">
        <v>49</v>
      </c>
      <c r="B116" s="124"/>
      <c r="C116" s="124"/>
      <c r="D116" s="124"/>
      <c r="E116" s="124"/>
      <c r="F116" s="124"/>
      <c r="G116" s="11">
        <f t="shared" ref="G116:R116" si="128">$F$114*G$9</f>
        <v>13632.5</v>
      </c>
      <c r="H116" s="11">
        <f t="shared" si="128"/>
        <v>1168.5</v>
      </c>
      <c r="I116" s="11">
        <f t="shared" si="128"/>
        <v>18579.149999999998</v>
      </c>
      <c r="J116" s="11">
        <f t="shared" si="128"/>
        <v>35795.049999999996</v>
      </c>
      <c r="K116" s="11">
        <f t="shared" si="128"/>
        <v>14917.85</v>
      </c>
      <c r="L116" s="11">
        <f t="shared" si="128"/>
        <v>17722.25</v>
      </c>
      <c r="M116" s="11">
        <f t="shared" si="128"/>
        <v>10399.65</v>
      </c>
      <c r="N116" s="11">
        <f t="shared" si="128"/>
        <v>11295.5</v>
      </c>
      <c r="O116" s="11">
        <f t="shared" si="128"/>
        <v>8140.5499999999993</v>
      </c>
      <c r="P116" s="11">
        <f t="shared" si="128"/>
        <v>12658.75</v>
      </c>
      <c r="Q116" s="11">
        <f t="shared" si="128"/>
        <v>13827.25</v>
      </c>
      <c r="R116" s="11">
        <f t="shared" si="128"/>
        <v>158136.99999999997</v>
      </c>
      <c r="S116" s="50"/>
      <c r="T116" s="37"/>
      <c r="U116" s="37"/>
      <c r="V116" s="38"/>
    </row>
    <row r="117" spans="1:22" s="3" customFormat="1" ht="21" customHeight="1" x14ac:dyDescent="0.25">
      <c r="A117" s="123" t="s">
        <v>76</v>
      </c>
      <c r="B117" s="124"/>
      <c r="C117" s="124"/>
      <c r="D117" s="124"/>
      <c r="E117" s="124"/>
      <c r="F117" s="124"/>
      <c r="G117" s="11">
        <f>$F$114*G$10</f>
        <v>13632.5</v>
      </c>
      <c r="H117" s="11">
        <f t="shared" ref="H117:R117" si="129">$F$114*H$10</f>
        <v>1168.5</v>
      </c>
      <c r="I117" s="11">
        <f t="shared" si="129"/>
        <v>18579.149999999998</v>
      </c>
      <c r="J117" s="11">
        <f t="shared" si="129"/>
        <v>35795.049999999996</v>
      </c>
      <c r="K117" s="11">
        <f t="shared" si="129"/>
        <v>14917.85</v>
      </c>
      <c r="L117" s="11">
        <f t="shared" si="129"/>
        <v>19085.5</v>
      </c>
      <c r="M117" s="11">
        <f t="shared" si="129"/>
        <v>10399.65</v>
      </c>
      <c r="N117" s="11">
        <f t="shared" si="129"/>
        <v>11295.5</v>
      </c>
      <c r="O117" s="11">
        <f t="shared" si="129"/>
        <v>8140.5499999999993</v>
      </c>
      <c r="P117" s="11">
        <f t="shared" si="129"/>
        <v>12658.75</v>
      </c>
      <c r="Q117" s="11">
        <f t="shared" si="129"/>
        <v>19942.400000000001</v>
      </c>
      <c r="R117" s="11">
        <f t="shared" si="129"/>
        <v>165615.39999999997</v>
      </c>
      <c r="S117" s="50"/>
      <c r="T117" s="37"/>
      <c r="U117" s="37"/>
      <c r="V117" s="38"/>
    </row>
    <row r="118" spans="1:22" s="8" customFormat="1" ht="21" customHeight="1" x14ac:dyDescent="0.25">
      <c r="A118" s="125" t="s">
        <v>19</v>
      </c>
      <c r="B118" s="126"/>
      <c r="C118" s="126"/>
      <c r="D118" s="126"/>
      <c r="E118" s="126"/>
      <c r="F118" s="126"/>
      <c r="G118" s="10">
        <f>G116*6+G117*6</f>
        <v>163590</v>
      </c>
      <c r="H118" s="10">
        <f t="shared" ref="H118" si="130">H116*6+H117*6</f>
        <v>14022</v>
      </c>
      <c r="I118" s="10">
        <f t="shared" ref="I118" si="131">I116*6+I117*6</f>
        <v>222949.8</v>
      </c>
      <c r="J118" s="10">
        <f t="shared" ref="J118" si="132">J116*6+J117*6</f>
        <v>429540.6</v>
      </c>
      <c r="K118" s="10">
        <f t="shared" ref="K118" si="133">K116*6+K117*6</f>
        <v>179014.2</v>
      </c>
      <c r="L118" s="10">
        <f t="shared" ref="L118" si="134">L116*6+L117*6</f>
        <v>220846.5</v>
      </c>
      <c r="M118" s="10">
        <f t="shared" ref="M118" si="135">M116*6+M117*6</f>
        <v>124795.79999999999</v>
      </c>
      <c r="N118" s="10">
        <f t="shared" ref="N118" si="136">N116*6+N117*6</f>
        <v>135546</v>
      </c>
      <c r="O118" s="10">
        <f t="shared" ref="O118" si="137">O116*6+O117*6</f>
        <v>97686.599999999991</v>
      </c>
      <c r="P118" s="10">
        <f t="shared" ref="P118" si="138">P116*6+P117*6</f>
        <v>151905</v>
      </c>
      <c r="Q118" s="10">
        <f t="shared" ref="Q118" si="139">Q116*6+Q117*6</f>
        <v>202617.90000000002</v>
      </c>
      <c r="R118" s="10">
        <f t="shared" ref="R118" si="140">R116*6+R117*6</f>
        <v>1942514.3999999994</v>
      </c>
      <c r="S118" s="51"/>
      <c r="T118" s="38"/>
      <c r="U118" s="38"/>
      <c r="V118" s="38"/>
    </row>
    <row r="119" spans="1:22" ht="15" customHeight="1" x14ac:dyDescent="0.25">
      <c r="A119" s="127" t="s">
        <v>74</v>
      </c>
      <c r="B119" s="128"/>
      <c r="C119" s="128"/>
      <c r="D119" s="128"/>
      <c r="E119" s="128"/>
      <c r="F119" s="128"/>
      <c r="G119" s="21">
        <f>G118</f>
        <v>163590</v>
      </c>
      <c r="H119" s="21">
        <f t="shared" ref="H119:R119" si="141">H118</f>
        <v>14022</v>
      </c>
      <c r="I119" s="21">
        <f t="shared" si="141"/>
        <v>222949.8</v>
      </c>
      <c r="J119" s="21">
        <f t="shared" si="141"/>
        <v>429540.6</v>
      </c>
      <c r="K119" s="21">
        <f t="shared" si="141"/>
        <v>179014.2</v>
      </c>
      <c r="L119" s="21">
        <f t="shared" si="141"/>
        <v>220846.5</v>
      </c>
      <c r="M119" s="21">
        <f t="shared" si="141"/>
        <v>124795.79999999999</v>
      </c>
      <c r="N119" s="21">
        <f t="shared" si="141"/>
        <v>135546</v>
      </c>
      <c r="O119" s="21">
        <f t="shared" si="141"/>
        <v>97686.599999999991</v>
      </c>
      <c r="P119" s="21">
        <f t="shared" si="141"/>
        <v>151905</v>
      </c>
      <c r="Q119" s="21">
        <f t="shared" si="141"/>
        <v>202617.90000000002</v>
      </c>
      <c r="R119" s="106">
        <f t="shared" si="141"/>
        <v>1942514.3999999994</v>
      </c>
      <c r="S119" s="49"/>
      <c r="T119" s="37">
        <f>404987.3+813171.96</f>
        <v>1218159.26</v>
      </c>
      <c r="U119" s="37">
        <f>40643.62+81663.06</f>
        <v>122306.68</v>
      </c>
      <c r="V119" s="38"/>
    </row>
    <row r="120" spans="1:22" ht="15.75" customHeight="1" x14ac:dyDescent="0.25">
      <c r="A120" s="127" t="s">
        <v>75</v>
      </c>
      <c r="B120" s="128"/>
      <c r="C120" s="128"/>
      <c r="D120" s="128"/>
      <c r="E120" s="128"/>
      <c r="F120" s="128"/>
      <c r="G120" s="21">
        <f>$R120/$R119*G119</f>
        <v>163590</v>
      </c>
      <c r="H120" s="21">
        <f t="shared" ref="H120" si="142">$R120/$R119*H119</f>
        <v>14022</v>
      </c>
      <c r="I120" s="21">
        <f t="shared" ref="I120:K120" si="143">$R120/$R119*I119</f>
        <v>222949.8</v>
      </c>
      <c r="J120" s="21">
        <f t="shared" si="143"/>
        <v>429540.6</v>
      </c>
      <c r="K120" s="21">
        <f t="shared" si="143"/>
        <v>179014.2</v>
      </c>
      <c r="L120" s="21">
        <f t="shared" ref="L120" si="144">$R120/$R119*L119</f>
        <v>220846.5</v>
      </c>
      <c r="M120" s="21">
        <f t="shared" ref="M120" si="145">$R120/$R119*M119</f>
        <v>124795.79999999999</v>
      </c>
      <c r="N120" s="21">
        <f t="shared" ref="N120" si="146">$R120/$R119*N119</f>
        <v>135546</v>
      </c>
      <c r="O120" s="21">
        <f t="shared" ref="O120:P120" si="147">$R120/$R119*O119</f>
        <v>97686.599999999991</v>
      </c>
      <c r="P120" s="21">
        <f t="shared" si="147"/>
        <v>151905</v>
      </c>
      <c r="Q120" s="21">
        <f t="shared" ref="Q120" si="148">$R120/$R119*Q119</f>
        <v>202617.90000000002</v>
      </c>
      <c r="R120" s="107">
        <f>R119-R121</f>
        <v>1942514.3999999994</v>
      </c>
      <c r="S120" s="49">
        <f>R120/R119*100</f>
        <v>100</v>
      </c>
      <c r="T120" s="37">
        <v>778069.1</v>
      </c>
      <c r="U120" s="37">
        <v>78140.320000000007</v>
      </c>
      <c r="V120" s="38"/>
    </row>
    <row r="121" spans="1:22" ht="18.75" customHeight="1" x14ac:dyDescent="0.25">
      <c r="A121" s="121" t="s">
        <v>18</v>
      </c>
      <c r="B121" s="122"/>
      <c r="C121" s="122"/>
      <c r="D121" s="122"/>
      <c r="E121" s="122"/>
      <c r="F121" s="122"/>
      <c r="G121" s="21">
        <f>$R121/$R119*G119</f>
        <v>0</v>
      </c>
      <c r="H121" s="21">
        <f>$R121/$R119*H119</f>
        <v>0</v>
      </c>
      <c r="I121" s="21">
        <f t="shared" ref="I121:N121" si="149">$R121/$R119*I119</f>
        <v>0</v>
      </c>
      <c r="J121" s="21">
        <f t="shared" ref="J121:K121" si="150">$R121/$R119*J119</f>
        <v>0</v>
      </c>
      <c r="K121" s="21">
        <f t="shared" si="150"/>
        <v>0</v>
      </c>
      <c r="L121" s="21">
        <f t="shared" si="149"/>
        <v>0</v>
      </c>
      <c r="M121" s="21">
        <f t="shared" si="149"/>
        <v>0</v>
      </c>
      <c r="N121" s="21">
        <f t="shared" si="149"/>
        <v>0</v>
      </c>
      <c r="O121" s="21">
        <f>$R121/$R119*O119</f>
        <v>0</v>
      </c>
      <c r="P121" s="21">
        <f>$R121/$R119*P119</f>
        <v>0</v>
      </c>
      <c r="Q121" s="21">
        <f t="shared" ref="Q121" si="151">$R121/$R119*Q119</f>
        <v>0</v>
      </c>
      <c r="R121" s="108"/>
      <c r="S121" s="49"/>
      <c r="T121" s="37">
        <f>T119-T120</f>
        <v>440090.16000000003</v>
      </c>
      <c r="U121" s="37">
        <f>U119-U120</f>
        <v>44166.359999999986</v>
      </c>
      <c r="V121" s="38">
        <f>T121+U121</f>
        <v>484256.52</v>
      </c>
    </row>
    <row r="122" spans="1:22" ht="15" customHeight="1" x14ac:dyDescent="0.25">
      <c r="A122" s="132" t="s">
        <v>17</v>
      </c>
      <c r="B122" s="133"/>
      <c r="C122" s="133"/>
      <c r="D122" s="133"/>
      <c r="E122" s="133"/>
      <c r="F122" s="133"/>
      <c r="G122" s="9"/>
      <c r="H122" s="9"/>
      <c r="I122" s="9"/>
      <c r="J122" s="9"/>
      <c r="K122" s="9"/>
      <c r="L122" s="10">
        <f>L123+L124+L125+L126+L127+L128</f>
        <v>143485.1</v>
      </c>
      <c r="M122" s="9"/>
      <c r="N122" s="9"/>
      <c r="O122" s="9"/>
      <c r="P122" s="9"/>
      <c r="Q122" s="9"/>
      <c r="R122" s="62"/>
      <c r="S122" s="49"/>
      <c r="T122" s="37"/>
      <c r="U122" s="37"/>
      <c r="V122" s="38"/>
    </row>
    <row r="123" spans="1:22" ht="17.25" customHeight="1" x14ac:dyDescent="0.25">
      <c r="A123" s="118" t="s">
        <v>72</v>
      </c>
      <c r="B123" s="119"/>
      <c r="C123" s="119"/>
      <c r="D123" s="119"/>
      <c r="E123" s="119"/>
      <c r="F123" s="120"/>
      <c r="G123" s="9"/>
      <c r="H123" s="9"/>
      <c r="I123" s="9"/>
      <c r="J123" s="9"/>
      <c r="K123" s="9"/>
      <c r="L123" s="110">
        <v>48551</v>
      </c>
      <c r="M123" s="9"/>
      <c r="N123" s="9"/>
      <c r="O123" s="9"/>
      <c r="P123" s="9"/>
      <c r="Q123" s="9"/>
      <c r="R123" s="62"/>
      <c r="S123" s="49"/>
      <c r="T123" s="37"/>
      <c r="U123" s="37"/>
      <c r="V123" s="38"/>
    </row>
    <row r="124" spans="1:22" ht="16.5" customHeight="1" x14ac:dyDescent="0.25">
      <c r="A124" s="118" t="s">
        <v>79</v>
      </c>
      <c r="B124" s="119"/>
      <c r="C124" s="119"/>
      <c r="D124" s="119"/>
      <c r="E124" s="119"/>
      <c r="F124" s="120"/>
      <c r="G124" s="23"/>
      <c r="H124" s="23"/>
      <c r="I124" s="23"/>
      <c r="J124" s="23"/>
      <c r="K124" s="23"/>
      <c r="L124" s="111">
        <v>94934.1</v>
      </c>
      <c r="M124" s="23"/>
      <c r="N124" s="23"/>
      <c r="O124" s="23"/>
      <c r="P124" s="23"/>
      <c r="Q124" s="23"/>
      <c r="R124" s="64"/>
      <c r="S124" s="54"/>
      <c r="T124" s="42"/>
      <c r="U124" s="42"/>
      <c r="V124" s="47"/>
    </row>
    <row r="125" spans="1:22" ht="21" customHeight="1" x14ac:dyDescent="0.25">
      <c r="A125" s="118"/>
      <c r="B125" s="119"/>
      <c r="C125" s="119"/>
      <c r="D125" s="119"/>
      <c r="E125" s="119"/>
      <c r="F125" s="120"/>
      <c r="G125" s="23"/>
      <c r="H125" s="23"/>
      <c r="I125" s="23"/>
      <c r="J125" s="23"/>
      <c r="K125" s="23"/>
      <c r="L125" s="34"/>
      <c r="M125" s="23"/>
      <c r="N125" s="23"/>
      <c r="O125" s="23"/>
      <c r="P125" s="23"/>
      <c r="Q125" s="23"/>
      <c r="R125" s="64"/>
      <c r="S125" s="54"/>
      <c r="T125" s="42"/>
      <c r="U125" s="42"/>
      <c r="V125" s="47"/>
    </row>
    <row r="126" spans="1:22" ht="21" customHeight="1" x14ac:dyDescent="0.25">
      <c r="A126" s="118"/>
      <c r="B126" s="119"/>
      <c r="C126" s="119"/>
      <c r="D126" s="119"/>
      <c r="E126" s="119"/>
      <c r="F126" s="120"/>
      <c r="G126" s="23"/>
      <c r="H126" s="23"/>
      <c r="I126" s="23"/>
      <c r="J126" s="23"/>
      <c r="K126" s="23"/>
      <c r="L126" s="34"/>
      <c r="M126" s="23"/>
      <c r="N126" s="23"/>
      <c r="O126" s="23"/>
      <c r="P126" s="23"/>
      <c r="Q126" s="23"/>
      <c r="R126" s="64"/>
      <c r="S126" s="54"/>
      <c r="T126" s="42"/>
      <c r="U126" s="42"/>
      <c r="V126" s="47"/>
    </row>
    <row r="127" spans="1:22" ht="21.75" customHeight="1" x14ac:dyDescent="0.25">
      <c r="A127" s="118"/>
      <c r="B127" s="119"/>
      <c r="C127" s="119"/>
      <c r="D127" s="119"/>
      <c r="E127" s="119"/>
      <c r="F127" s="120"/>
      <c r="G127" s="23"/>
      <c r="H127" s="23"/>
      <c r="I127" s="23"/>
      <c r="J127" s="23"/>
      <c r="K127" s="23"/>
      <c r="L127" s="34"/>
      <c r="M127" s="23"/>
      <c r="N127" s="23"/>
      <c r="O127" s="23"/>
      <c r="P127" s="23"/>
      <c r="Q127" s="23"/>
      <c r="R127" s="64"/>
      <c r="S127" s="54"/>
      <c r="T127" s="42"/>
      <c r="U127" s="42"/>
      <c r="V127" s="47"/>
    </row>
    <row r="128" spans="1:22" ht="21.75" customHeight="1" x14ac:dyDescent="0.25">
      <c r="A128" s="118"/>
      <c r="B128" s="119"/>
      <c r="C128" s="119"/>
      <c r="D128" s="119"/>
      <c r="E128" s="119"/>
      <c r="F128" s="120"/>
      <c r="G128" s="23"/>
      <c r="H128" s="23"/>
      <c r="I128" s="23"/>
      <c r="J128" s="23"/>
      <c r="K128" s="23"/>
      <c r="L128" s="34"/>
      <c r="M128" s="23"/>
      <c r="N128" s="23"/>
      <c r="O128" s="23"/>
      <c r="P128" s="23"/>
      <c r="Q128" s="23"/>
      <c r="R128" s="64"/>
      <c r="S128" s="54"/>
      <c r="T128" s="42"/>
      <c r="U128" s="42"/>
      <c r="V128" s="47"/>
    </row>
    <row r="129" spans="1:22" ht="15.75" thickBot="1" x14ac:dyDescent="0.3">
      <c r="A129" s="136" t="s">
        <v>20</v>
      </c>
      <c r="B129" s="137"/>
      <c r="C129" s="137"/>
      <c r="D129" s="137"/>
      <c r="E129" s="137"/>
      <c r="F129" s="137"/>
      <c r="G129" s="14"/>
      <c r="H129" s="14"/>
      <c r="I129" s="14"/>
      <c r="J129" s="14"/>
      <c r="K129" s="14"/>
      <c r="L129" s="26">
        <f>L120-L122</f>
        <v>77361.399999999994</v>
      </c>
      <c r="M129" s="14"/>
      <c r="N129" s="14"/>
      <c r="O129" s="14"/>
      <c r="P129" s="14"/>
      <c r="Q129" s="14"/>
      <c r="R129" s="63"/>
      <c r="S129" s="52"/>
      <c r="T129" s="39"/>
      <c r="U129" s="39"/>
      <c r="V129" s="45"/>
    </row>
    <row r="130" spans="1:22" x14ac:dyDescent="0.25">
      <c r="A130" s="91" t="s">
        <v>27</v>
      </c>
      <c r="B130" s="87" t="s">
        <v>32</v>
      </c>
      <c r="C130" s="12">
        <v>9</v>
      </c>
      <c r="D130" s="13">
        <v>4013.5</v>
      </c>
      <c r="E130" s="13"/>
      <c r="F130" s="13">
        <f t="shared" si="14"/>
        <v>4013.5</v>
      </c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65"/>
      <c r="S130" s="55"/>
      <c r="T130" s="41"/>
      <c r="U130" s="41"/>
      <c r="V130" s="46"/>
    </row>
    <row r="131" spans="1:22" s="3" customFormat="1" ht="21" hidden="1" customHeight="1" x14ac:dyDescent="0.25">
      <c r="A131" s="123" t="s">
        <v>30</v>
      </c>
      <c r="B131" s="124"/>
      <c r="C131" s="124"/>
      <c r="D131" s="124"/>
      <c r="E131" s="124"/>
      <c r="F131" s="124"/>
      <c r="G131" s="11">
        <f t="shared" ref="G131:R131" si="152">$F$130*G$8</f>
        <v>0</v>
      </c>
      <c r="H131" s="11">
        <f t="shared" si="152"/>
        <v>0</v>
      </c>
      <c r="I131" s="11">
        <f t="shared" si="152"/>
        <v>0</v>
      </c>
      <c r="J131" s="11">
        <f t="shared" si="152"/>
        <v>0</v>
      </c>
      <c r="K131" s="11">
        <f t="shared" si="152"/>
        <v>0</v>
      </c>
      <c r="L131" s="11">
        <f t="shared" si="152"/>
        <v>0</v>
      </c>
      <c r="M131" s="11">
        <f t="shared" si="152"/>
        <v>0</v>
      </c>
      <c r="N131" s="11">
        <f t="shared" si="152"/>
        <v>0</v>
      </c>
      <c r="O131" s="11">
        <f t="shared" si="152"/>
        <v>0</v>
      </c>
      <c r="P131" s="11">
        <f t="shared" si="152"/>
        <v>0</v>
      </c>
      <c r="Q131" s="11">
        <f t="shared" si="152"/>
        <v>0</v>
      </c>
      <c r="R131" s="61">
        <f t="shared" si="152"/>
        <v>0</v>
      </c>
      <c r="S131" s="50"/>
      <c r="T131" s="37"/>
      <c r="U131" s="37"/>
      <c r="V131" s="38"/>
    </row>
    <row r="132" spans="1:22" s="3" customFormat="1" ht="21" customHeight="1" x14ac:dyDescent="0.25">
      <c r="A132" s="123" t="s">
        <v>49</v>
      </c>
      <c r="B132" s="124"/>
      <c r="C132" s="124"/>
      <c r="D132" s="124"/>
      <c r="E132" s="124"/>
      <c r="F132" s="124"/>
      <c r="G132" s="11">
        <f t="shared" ref="G132:R132" si="153">$F$130*G$9</f>
        <v>14047.25</v>
      </c>
      <c r="H132" s="11">
        <f t="shared" si="153"/>
        <v>1204.05</v>
      </c>
      <c r="I132" s="11">
        <f t="shared" si="153"/>
        <v>19144.394999999997</v>
      </c>
      <c r="J132" s="11">
        <f t="shared" si="153"/>
        <v>36884.064999999995</v>
      </c>
      <c r="K132" s="11">
        <f t="shared" si="153"/>
        <v>15371.705</v>
      </c>
      <c r="L132" s="11">
        <f t="shared" si="153"/>
        <v>18261.424999999999</v>
      </c>
      <c r="M132" s="11">
        <f t="shared" si="153"/>
        <v>10716.045</v>
      </c>
      <c r="N132" s="11">
        <f t="shared" si="153"/>
        <v>11639.15</v>
      </c>
      <c r="O132" s="11">
        <f t="shared" si="153"/>
        <v>8388.2150000000001</v>
      </c>
      <c r="P132" s="11">
        <f t="shared" si="153"/>
        <v>13043.875</v>
      </c>
      <c r="Q132" s="11">
        <f t="shared" si="153"/>
        <v>14247.924999999999</v>
      </c>
      <c r="R132" s="11">
        <f t="shared" si="153"/>
        <v>162948.09999999998</v>
      </c>
      <c r="S132" s="50"/>
      <c r="T132" s="37"/>
      <c r="U132" s="37"/>
      <c r="V132" s="38"/>
    </row>
    <row r="133" spans="1:22" s="3" customFormat="1" ht="21" customHeight="1" x14ac:dyDescent="0.25">
      <c r="A133" s="123" t="s">
        <v>76</v>
      </c>
      <c r="B133" s="124"/>
      <c r="C133" s="124"/>
      <c r="D133" s="124"/>
      <c r="E133" s="124"/>
      <c r="F133" s="124"/>
      <c r="G133" s="11">
        <f>$F$130*G10</f>
        <v>14047.25</v>
      </c>
      <c r="H133" s="11">
        <f t="shared" ref="H133:R133" si="154">$F$130*H10</f>
        <v>1204.05</v>
      </c>
      <c r="I133" s="11">
        <f t="shared" si="154"/>
        <v>19144.394999999997</v>
      </c>
      <c r="J133" s="11">
        <f t="shared" si="154"/>
        <v>36884.064999999995</v>
      </c>
      <c r="K133" s="11">
        <f t="shared" si="154"/>
        <v>15371.705</v>
      </c>
      <c r="L133" s="11">
        <f t="shared" si="154"/>
        <v>19666.150000000001</v>
      </c>
      <c r="M133" s="11">
        <f t="shared" si="154"/>
        <v>10716.045</v>
      </c>
      <c r="N133" s="11">
        <f t="shared" si="154"/>
        <v>11639.15</v>
      </c>
      <c r="O133" s="11">
        <f t="shared" si="154"/>
        <v>8388.2150000000001</v>
      </c>
      <c r="P133" s="11">
        <f t="shared" si="154"/>
        <v>13043.875</v>
      </c>
      <c r="Q133" s="11">
        <f t="shared" si="154"/>
        <v>20549.12</v>
      </c>
      <c r="R133" s="11">
        <f t="shared" si="154"/>
        <v>170654.01999999996</v>
      </c>
      <c r="S133" s="50"/>
      <c r="T133" s="37"/>
      <c r="U133" s="37"/>
      <c r="V133" s="38"/>
    </row>
    <row r="134" spans="1:22" s="8" customFormat="1" ht="21" customHeight="1" x14ac:dyDescent="0.25">
      <c r="A134" s="125" t="s">
        <v>19</v>
      </c>
      <c r="B134" s="126"/>
      <c r="C134" s="126"/>
      <c r="D134" s="126"/>
      <c r="E134" s="126"/>
      <c r="F134" s="126"/>
      <c r="G134" s="10">
        <f>G132*6+G133*6</f>
        <v>168567</v>
      </c>
      <c r="H134" s="10">
        <f t="shared" ref="H134" si="155">H132*6+H133*6</f>
        <v>14448.599999999999</v>
      </c>
      <c r="I134" s="10">
        <f t="shared" ref="I134" si="156">I132*6+I133*6</f>
        <v>229732.73999999996</v>
      </c>
      <c r="J134" s="10">
        <f t="shared" ref="J134" si="157">J132*6+J133*6</f>
        <v>442608.77999999991</v>
      </c>
      <c r="K134" s="10">
        <f t="shared" ref="K134" si="158">K132*6+K133*6</f>
        <v>184460.46</v>
      </c>
      <c r="L134" s="10">
        <f t="shared" ref="L134" si="159">L132*6+L133*6</f>
        <v>227565.45</v>
      </c>
      <c r="M134" s="10">
        <f t="shared" ref="M134" si="160">M132*6+M133*6</f>
        <v>128592.54000000001</v>
      </c>
      <c r="N134" s="10">
        <f t="shared" ref="N134" si="161">N132*6+N133*6</f>
        <v>139669.79999999999</v>
      </c>
      <c r="O134" s="10">
        <f t="shared" ref="O134" si="162">O132*6+O133*6</f>
        <v>100658.58</v>
      </c>
      <c r="P134" s="10">
        <f t="shared" ref="P134" si="163">P132*6+P133*6</f>
        <v>156526.5</v>
      </c>
      <c r="Q134" s="10">
        <f t="shared" ref="Q134" si="164">Q132*6+Q133*6</f>
        <v>208782.27</v>
      </c>
      <c r="R134" s="10">
        <f t="shared" ref="R134" si="165">R132*6+R133*6</f>
        <v>2001612.7199999997</v>
      </c>
      <c r="S134" s="51"/>
      <c r="T134" s="38"/>
      <c r="U134" s="38"/>
      <c r="V134" s="38"/>
    </row>
    <row r="135" spans="1:22" ht="15" customHeight="1" x14ac:dyDescent="0.25">
      <c r="A135" s="127" t="s">
        <v>74</v>
      </c>
      <c r="B135" s="128"/>
      <c r="C135" s="128"/>
      <c r="D135" s="128"/>
      <c r="E135" s="128"/>
      <c r="F135" s="128"/>
      <c r="G135" s="21">
        <f>G134</f>
        <v>168567</v>
      </c>
      <c r="H135" s="21">
        <f t="shared" ref="H135:R135" si="166">H134</f>
        <v>14448.599999999999</v>
      </c>
      <c r="I135" s="21">
        <f t="shared" si="166"/>
        <v>229732.73999999996</v>
      </c>
      <c r="J135" s="21">
        <f t="shared" si="166"/>
        <v>442608.77999999991</v>
      </c>
      <c r="K135" s="21">
        <f t="shared" si="166"/>
        <v>184460.46</v>
      </c>
      <c r="L135" s="21">
        <f t="shared" si="166"/>
        <v>227565.45</v>
      </c>
      <c r="M135" s="21">
        <f t="shared" si="166"/>
        <v>128592.54000000001</v>
      </c>
      <c r="N135" s="21">
        <f t="shared" si="166"/>
        <v>139669.79999999999</v>
      </c>
      <c r="O135" s="21">
        <f t="shared" si="166"/>
        <v>100658.58</v>
      </c>
      <c r="P135" s="21">
        <f t="shared" si="166"/>
        <v>156526.5</v>
      </c>
      <c r="Q135" s="21">
        <f t="shared" si="166"/>
        <v>208782.27</v>
      </c>
      <c r="R135" s="106">
        <f t="shared" si="166"/>
        <v>2001612.7199999997</v>
      </c>
      <c r="S135" s="49"/>
      <c r="T135" s="37">
        <f>340591.26+851265.06</f>
        <v>1191856.32</v>
      </c>
      <c r="U135" s="37">
        <f>34208.78+85488.6</f>
        <v>119697.38</v>
      </c>
      <c r="V135" s="38"/>
    </row>
    <row r="136" spans="1:22" ht="15.75" customHeight="1" x14ac:dyDescent="0.25">
      <c r="A136" s="127" t="s">
        <v>75</v>
      </c>
      <c r="B136" s="128"/>
      <c r="C136" s="128"/>
      <c r="D136" s="128"/>
      <c r="E136" s="128"/>
      <c r="F136" s="128"/>
      <c r="G136" s="21">
        <f>$R136/$R135*G135</f>
        <v>168567</v>
      </c>
      <c r="H136" s="21">
        <f t="shared" ref="H136" si="167">$R136/$R135*H135</f>
        <v>14448.599999999999</v>
      </c>
      <c r="I136" s="21">
        <f t="shared" ref="I136:K136" si="168">$R136/$R135*I135</f>
        <v>229732.73999999996</v>
      </c>
      <c r="J136" s="21">
        <f t="shared" si="168"/>
        <v>442608.77999999991</v>
      </c>
      <c r="K136" s="21">
        <f t="shared" si="168"/>
        <v>184460.46</v>
      </c>
      <c r="L136" s="21">
        <f t="shared" ref="L136" si="169">$R136/$R135*L135</f>
        <v>227565.45</v>
      </c>
      <c r="M136" s="21">
        <f t="shared" ref="M136" si="170">$R136/$R135*M135</f>
        <v>128592.54000000001</v>
      </c>
      <c r="N136" s="21">
        <f t="shared" ref="N136" si="171">$R136/$R135*N135</f>
        <v>139669.79999999999</v>
      </c>
      <c r="O136" s="21">
        <f t="shared" ref="O136:P136" si="172">$R136/$R135*O135</f>
        <v>100658.58</v>
      </c>
      <c r="P136" s="21">
        <f t="shared" si="172"/>
        <v>156526.5</v>
      </c>
      <c r="Q136" s="21">
        <f t="shared" ref="Q136" si="173">$R136/$R135*Q135</f>
        <v>208782.27</v>
      </c>
      <c r="R136" s="107">
        <f>R135-R137</f>
        <v>2001612.7199999997</v>
      </c>
      <c r="S136" s="49">
        <f>R136/R135*100</f>
        <v>100</v>
      </c>
      <c r="T136" s="37">
        <v>886970.99</v>
      </c>
      <c r="U136" s="37">
        <v>89076.62</v>
      </c>
      <c r="V136" s="38"/>
    </row>
    <row r="137" spans="1:22" ht="18.75" customHeight="1" x14ac:dyDescent="0.25">
      <c r="A137" s="121" t="s">
        <v>18</v>
      </c>
      <c r="B137" s="122"/>
      <c r="C137" s="122"/>
      <c r="D137" s="122"/>
      <c r="E137" s="122"/>
      <c r="F137" s="122"/>
      <c r="G137" s="21">
        <f>$R137/$R135*G135</f>
        <v>0</v>
      </c>
      <c r="H137" s="21">
        <f>$R137/$R135*H135</f>
        <v>0</v>
      </c>
      <c r="I137" s="21">
        <f t="shared" ref="I137:N137" si="174">$R137/$R135*I135</f>
        <v>0</v>
      </c>
      <c r="J137" s="21">
        <f t="shared" ref="J137:K137" si="175">$R137/$R135*J135</f>
        <v>0</v>
      </c>
      <c r="K137" s="21">
        <f t="shared" si="175"/>
        <v>0</v>
      </c>
      <c r="L137" s="21">
        <f t="shared" si="174"/>
        <v>0</v>
      </c>
      <c r="M137" s="21">
        <f t="shared" si="174"/>
        <v>0</v>
      </c>
      <c r="N137" s="21">
        <f t="shared" si="174"/>
        <v>0</v>
      </c>
      <c r="O137" s="21">
        <f>$R137/$R135*O135</f>
        <v>0</v>
      </c>
      <c r="P137" s="21">
        <f>$R137/$R135*P135</f>
        <v>0</v>
      </c>
      <c r="Q137" s="21">
        <f t="shared" ref="Q137" si="176">$R137/$R135*Q135</f>
        <v>0</v>
      </c>
      <c r="R137" s="108"/>
      <c r="S137" s="49"/>
      <c r="T137" s="37">
        <f>T135-T136</f>
        <v>304885.33000000007</v>
      </c>
      <c r="U137" s="37">
        <f>U135-U136</f>
        <v>30620.760000000009</v>
      </c>
      <c r="V137" s="38">
        <f>T137+U137</f>
        <v>335506.09000000008</v>
      </c>
    </row>
    <row r="138" spans="1:22" x14ac:dyDescent="0.25">
      <c r="A138" s="132" t="s">
        <v>17</v>
      </c>
      <c r="B138" s="133"/>
      <c r="C138" s="133"/>
      <c r="D138" s="133"/>
      <c r="E138" s="133"/>
      <c r="F138" s="133"/>
      <c r="G138" s="9"/>
      <c r="H138" s="9"/>
      <c r="I138" s="9"/>
      <c r="J138" s="9"/>
      <c r="K138" s="9"/>
      <c r="L138" s="10">
        <f>L139+L140+L141+L142+L143+L144+L145+L146</f>
        <v>58580.89</v>
      </c>
      <c r="M138" s="9"/>
      <c r="N138" s="9"/>
      <c r="O138" s="9"/>
      <c r="P138" s="9"/>
      <c r="Q138" s="9"/>
      <c r="R138" s="62"/>
      <c r="S138" s="49"/>
      <c r="T138" s="37"/>
      <c r="U138" s="37"/>
      <c r="V138" s="38"/>
    </row>
    <row r="139" spans="1:22" ht="15" customHeight="1" x14ac:dyDescent="0.25">
      <c r="A139" s="118" t="s">
        <v>79</v>
      </c>
      <c r="B139" s="119"/>
      <c r="C139" s="119"/>
      <c r="D139" s="119"/>
      <c r="E139" s="119"/>
      <c r="F139" s="120"/>
      <c r="G139" s="23"/>
      <c r="H139" s="23"/>
      <c r="I139" s="23"/>
      <c r="J139" s="23"/>
      <c r="K139" s="23"/>
      <c r="L139" s="111">
        <v>28795.18</v>
      </c>
      <c r="M139" s="23"/>
      <c r="N139" s="23"/>
      <c r="O139" s="23"/>
      <c r="P139" s="23"/>
      <c r="Q139" s="23"/>
      <c r="R139" s="64"/>
      <c r="S139" s="54"/>
      <c r="T139" s="42"/>
      <c r="U139" s="42"/>
      <c r="V139" s="47"/>
    </row>
    <row r="140" spans="1:22" ht="19.5" customHeight="1" x14ac:dyDescent="0.25">
      <c r="A140" s="118" t="s">
        <v>85</v>
      </c>
      <c r="B140" s="119"/>
      <c r="C140" s="119"/>
      <c r="D140" s="119"/>
      <c r="E140" s="119"/>
      <c r="F140" s="120"/>
      <c r="G140" s="23"/>
      <c r="H140" s="23"/>
      <c r="I140" s="23"/>
      <c r="J140" s="23"/>
      <c r="K140" s="23"/>
      <c r="L140" s="111">
        <v>29785.71</v>
      </c>
      <c r="M140" s="23"/>
      <c r="N140" s="23"/>
      <c r="O140" s="23"/>
      <c r="P140" s="23"/>
      <c r="Q140" s="23"/>
      <c r="R140" s="64"/>
      <c r="S140" s="54"/>
      <c r="T140" s="42"/>
      <c r="U140" s="42"/>
      <c r="V140" s="47"/>
    </row>
    <row r="141" spans="1:22" ht="21" customHeight="1" x14ac:dyDescent="0.25">
      <c r="A141" s="118"/>
      <c r="B141" s="119"/>
      <c r="C141" s="119"/>
      <c r="D141" s="119"/>
      <c r="E141" s="119"/>
      <c r="F141" s="120"/>
      <c r="G141" s="23"/>
      <c r="H141" s="23"/>
      <c r="I141" s="23"/>
      <c r="J141" s="23"/>
      <c r="K141" s="23"/>
      <c r="L141" s="34"/>
      <c r="M141" s="23"/>
      <c r="N141" s="23"/>
      <c r="O141" s="23"/>
      <c r="P141" s="23"/>
      <c r="Q141" s="23"/>
      <c r="R141" s="64"/>
      <c r="S141" s="54"/>
      <c r="T141" s="42"/>
      <c r="U141" s="42"/>
      <c r="V141" s="47"/>
    </row>
    <row r="142" spans="1:22" ht="21" customHeight="1" x14ac:dyDescent="0.25">
      <c r="A142" s="118"/>
      <c r="B142" s="119"/>
      <c r="C142" s="119"/>
      <c r="D142" s="119"/>
      <c r="E142" s="119"/>
      <c r="F142" s="120"/>
      <c r="G142" s="23"/>
      <c r="H142" s="23"/>
      <c r="I142" s="23"/>
      <c r="J142" s="23"/>
      <c r="K142" s="23"/>
      <c r="L142" s="34"/>
      <c r="M142" s="23"/>
      <c r="N142" s="23"/>
      <c r="O142" s="23"/>
      <c r="P142" s="23"/>
      <c r="Q142" s="23"/>
      <c r="R142" s="64"/>
      <c r="S142" s="54"/>
      <c r="T142" s="42"/>
      <c r="U142" s="42"/>
      <c r="V142" s="47"/>
    </row>
    <row r="143" spans="1:22" ht="21" customHeight="1" x14ac:dyDescent="0.25">
      <c r="A143" s="118"/>
      <c r="B143" s="119"/>
      <c r="C143" s="119"/>
      <c r="D143" s="119"/>
      <c r="E143" s="119"/>
      <c r="F143" s="120"/>
      <c r="G143" s="23"/>
      <c r="H143" s="23"/>
      <c r="I143" s="23"/>
      <c r="J143" s="23"/>
      <c r="K143" s="23"/>
      <c r="L143" s="34"/>
      <c r="M143" s="23"/>
      <c r="N143" s="23"/>
      <c r="O143" s="23"/>
      <c r="P143" s="23"/>
      <c r="Q143" s="23"/>
      <c r="R143" s="64"/>
      <c r="S143" s="54"/>
      <c r="T143" s="42"/>
      <c r="U143" s="42"/>
      <c r="V143" s="47"/>
    </row>
    <row r="144" spans="1:22" ht="51.75" customHeight="1" x14ac:dyDescent="0.25">
      <c r="A144" s="118"/>
      <c r="B144" s="119"/>
      <c r="C144" s="119"/>
      <c r="D144" s="119"/>
      <c r="E144" s="119"/>
      <c r="F144" s="120"/>
      <c r="G144" s="23"/>
      <c r="H144" s="23"/>
      <c r="I144" s="23"/>
      <c r="J144" s="23"/>
      <c r="K144" s="23"/>
      <c r="L144" s="34"/>
      <c r="M144" s="23"/>
      <c r="N144" s="23"/>
      <c r="O144" s="23"/>
      <c r="P144" s="23"/>
      <c r="Q144" s="23"/>
      <c r="R144" s="64"/>
      <c r="S144" s="54"/>
      <c r="T144" s="42"/>
      <c r="U144" s="42"/>
      <c r="V144" s="47"/>
    </row>
    <row r="145" spans="1:22" ht="23.25" customHeight="1" x14ac:dyDescent="0.25">
      <c r="A145" s="118"/>
      <c r="B145" s="119"/>
      <c r="C145" s="119"/>
      <c r="D145" s="119"/>
      <c r="E145" s="119"/>
      <c r="F145" s="120"/>
      <c r="G145" s="23"/>
      <c r="H145" s="23"/>
      <c r="I145" s="23"/>
      <c r="J145" s="23"/>
      <c r="K145" s="23"/>
      <c r="L145" s="34"/>
      <c r="M145" s="23"/>
      <c r="N145" s="23"/>
      <c r="O145" s="23"/>
      <c r="P145" s="23"/>
      <c r="Q145" s="23"/>
      <c r="R145" s="64"/>
      <c r="S145" s="54"/>
      <c r="T145" s="42"/>
      <c r="U145" s="42"/>
      <c r="V145" s="47"/>
    </row>
    <row r="146" spans="1:22" ht="23.25" customHeight="1" x14ac:dyDescent="0.25">
      <c r="A146" s="118"/>
      <c r="B146" s="119"/>
      <c r="C146" s="119"/>
      <c r="D146" s="119"/>
      <c r="E146" s="119"/>
      <c r="F146" s="120"/>
      <c r="G146" s="23"/>
      <c r="H146" s="23"/>
      <c r="I146" s="23"/>
      <c r="J146" s="23"/>
      <c r="K146" s="23"/>
      <c r="L146" s="34"/>
      <c r="M146" s="23"/>
      <c r="N146" s="23"/>
      <c r="O146" s="23"/>
      <c r="P146" s="23"/>
      <c r="Q146" s="23"/>
      <c r="R146" s="64"/>
      <c r="S146" s="54"/>
      <c r="T146" s="42"/>
      <c r="U146" s="42"/>
      <c r="V146" s="47"/>
    </row>
    <row r="147" spans="1:22" ht="15.75" thickBot="1" x14ac:dyDescent="0.3">
      <c r="A147" s="134" t="s">
        <v>20</v>
      </c>
      <c r="B147" s="135"/>
      <c r="C147" s="135"/>
      <c r="D147" s="135"/>
      <c r="E147" s="135"/>
      <c r="F147" s="135"/>
      <c r="G147" s="23"/>
      <c r="H147" s="23"/>
      <c r="I147" s="23"/>
      <c r="J147" s="23"/>
      <c r="K147" s="23"/>
      <c r="L147" s="28">
        <f>L136-L138</f>
        <v>168984.56</v>
      </c>
      <c r="M147" s="23"/>
      <c r="N147" s="23"/>
      <c r="O147" s="23"/>
      <c r="P147" s="23"/>
      <c r="Q147" s="23"/>
      <c r="R147" s="64"/>
      <c r="S147" s="54"/>
      <c r="T147" s="42"/>
      <c r="U147" s="42"/>
      <c r="V147" s="47"/>
    </row>
    <row r="148" spans="1:22" x14ac:dyDescent="0.25">
      <c r="A148" s="90" t="s">
        <v>27</v>
      </c>
      <c r="B148" s="89">
        <v>25</v>
      </c>
      <c r="C148" s="7">
        <v>9</v>
      </c>
      <c r="D148" s="6">
        <v>6031</v>
      </c>
      <c r="E148" s="6"/>
      <c r="F148" s="6">
        <f t="shared" si="14"/>
        <v>6031</v>
      </c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27"/>
      <c r="S148" s="48"/>
      <c r="T148" s="36"/>
      <c r="U148" s="36"/>
      <c r="V148" s="40"/>
    </row>
    <row r="149" spans="1:22" s="3" customFormat="1" ht="21" hidden="1" customHeight="1" x14ac:dyDescent="0.25">
      <c r="A149" s="123" t="s">
        <v>30</v>
      </c>
      <c r="B149" s="124"/>
      <c r="C149" s="124"/>
      <c r="D149" s="124"/>
      <c r="E149" s="124"/>
      <c r="F149" s="124"/>
      <c r="G149" s="11">
        <f t="shared" ref="G149:R149" si="177">$F$148*G$8</f>
        <v>0</v>
      </c>
      <c r="H149" s="11">
        <f t="shared" si="177"/>
        <v>0</v>
      </c>
      <c r="I149" s="11">
        <f t="shared" si="177"/>
        <v>0</v>
      </c>
      <c r="J149" s="11">
        <f t="shared" si="177"/>
        <v>0</v>
      </c>
      <c r="K149" s="11">
        <f t="shared" si="177"/>
        <v>0</v>
      </c>
      <c r="L149" s="11">
        <f t="shared" si="177"/>
        <v>0</v>
      </c>
      <c r="M149" s="11">
        <f t="shared" si="177"/>
        <v>0</v>
      </c>
      <c r="N149" s="11">
        <f t="shared" si="177"/>
        <v>0</v>
      </c>
      <c r="O149" s="11">
        <f t="shared" si="177"/>
        <v>0</v>
      </c>
      <c r="P149" s="11">
        <f t="shared" si="177"/>
        <v>0</v>
      </c>
      <c r="Q149" s="11">
        <f t="shared" si="177"/>
        <v>0</v>
      </c>
      <c r="R149" s="61">
        <f t="shared" si="177"/>
        <v>0</v>
      </c>
      <c r="S149" s="50"/>
      <c r="T149" s="37"/>
      <c r="U149" s="37"/>
      <c r="V149" s="38"/>
    </row>
    <row r="150" spans="1:22" s="3" customFormat="1" ht="21" customHeight="1" x14ac:dyDescent="0.25">
      <c r="A150" s="123" t="s">
        <v>49</v>
      </c>
      <c r="B150" s="124"/>
      <c r="C150" s="124"/>
      <c r="D150" s="124"/>
      <c r="E150" s="124"/>
      <c r="F150" s="124"/>
      <c r="G150" s="11">
        <f t="shared" ref="G150:R150" si="178">$F$148*G$9</f>
        <v>21108.5</v>
      </c>
      <c r="H150" s="11">
        <f t="shared" si="178"/>
        <v>1809.3</v>
      </c>
      <c r="I150" s="11">
        <f t="shared" si="178"/>
        <v>28767.87</v>
      </c>
      <c r="J150" s="11">
        <f t="shared" si="178"/>
        <v>55424.89</v>
      </c>
      <c r="K150" s="11">
        <f t="shared" si="178"/>
        <v>23098.73</v>
      </c>
      <c r="L150" s="11">
        <f t="shared" si="178"/>
        <v>27441.05</v>
      </c>
      <c r="M150" s="11">
        <f t="shared" si="178"/>
        <v>16102.77</v>
      </c>
      <c r="N150" s="11">
        <f t="shared" si="178"/>
        <v>17489.899999999998</v>
      </c>
      <c r="O150" s="11">
        <f t="shared" si="178"/>
        <v>12604.789999999999</v>
      </c>
      <c r="P150" s="11">
        <f t="shared" si="178"/>
        <v>19600.75</v>
      </c>
      <c r="Q150" s="11">
        <f t="shared" si="178"/>
        <v>21410.05</v>
      </c>
      <c r="R150" s="11">
        <f t="shared" si="178"/>
        <v>244858.59999999998</v>
      </c>
      <c r="S150" s="50"/>
      <c r="T150" s="37"/>
      <c r="U150" s="37"/>
      <c r="V150" s="38"/>
    </row>
    <row r="151" spans="1:22" s="3" customFormat="1" ht="21" customHeight="1" x14ac:dyDescent="0.25">
      <c r="A151" s="123" t="s">
        <v>76</v>
      </c>
      <c r="B151" s="124"/>
      <c r="C151" s="124"/>
      <c r="D151" s="124"/>
      <c r="E151" s="124"/>
      <c r="F151" s="124"/>
      <c r="G151" s="11">
        <f>$F$148*G$10</f>
        <v>21108.5</v>
      </c>
      <c r="H151" s="11">
        <f t="shared" ref="H151:R151" si="179">$F$148*H$10</f>
        <v>1809.3</v>
      </c>
      <c r="I151" s="11">
        <f t="shared" si="179"/>
        <v>28767.87</v>
      </c>
      <c r="J151" s="11">
        <f t="shared" si="179"/>
        <v>55424.89</v>
      </c>
      <c r="K151" s="11">
        <f t="shared" si="179"/>
        <v>23098.73</v>
      </c>
      <c r="L151" s="11">
        <f t="shared" si="179"/>
        <v>29551.9</v>
      </c>
      <c r="M151" s="11">
        <f t="shared" si="179"/>
        <v>16102.77</v>
      </c>
      <c r="N151" s="11">
        <f t="shared" si="179"/>
        <v>17489.899999999998</v>
      </c>
      <c r="O151" s="11">
        <f t="shared" si="179"/>
        <v>12604.789999999999</v>
      </c>
      <c r="P151" s="11">
        <f t="shared" si="179"/>
        <v>19600.75</v>
      </c>
      <c r="Q151" s="11">
        <f t="shared" si="179"/>
        <v>30878.720000000001</v>
      </c>
      <c r="R151" s="11">
        <f t="shared" si="179"/>
        <v>256438.11999999994</v>
      </c>
      <c r="S151" s="50"/>
      <c r="T151" s="37"/>
      <c r="U151" s="37"/>
      <c r="V151" s="38"/>
    </row>
    <row r="152" spans="1:22" s="8" customFormat="1" ht="21" customHeight="1" x14ac:dyDescent="0.25">
      <c r="A152" s="125" t="s">
        <v>19</v>
      </c>
      <c r="B152" s="126"/>
      <c r="C152" s="126"/>
      <c r="D152" s="126"/>
      <c r="E152" s="126"/>
      <c r="F152" s="126"/>
      <c r="G152" s="10">
        <f>G150*6+G151*6</f>
        <v>253302</v>
      </c>
      <c r="H152" s="10">
        <f t="shared" ref="H152" si="180">H150*6+H151*6</f>
        <v>21711.599999999999</v>
      </c>
      <c r="I152" s="10">
        <f t="shared" ref="I152" si="181">I150*6+I151*6</f>
        <v>345214.44</v>
      </c>
      <c r="J152" s="10">
        <f t="shared" ref="J152" si="182">J150*6+J151*6</f>
        <v>665098.67999999993</v>
      </c>
      <c r="K152" s="10">
        <f t="shared" ref="K152" si="183">K150*6+K151*6</f>
        <v>277184.76</v>
      </c>
      <c r="L152" s="10">
        <f t="shared" ref="L152" si="184">L150*6+L151*6</f>
        <v>341957.7</v>
      </c>
      <c r="M152" s="10">
        <f t="shared" ref="M152" si="185">M150*6+M151*6</f>
        <v>193233.24</v>
      </c>
      <c r="N152" s="10">
        <f t="shared" ref="N152" si="186">N150*6+N151*6</f>
        <v>209878.8</v>
      </c>
      <c r="O152" s="10">
        <f t="shared" ref="O152" si="187">O150*6+O151*6</f>
        <v>151257.47999999998</v>
      </c>
      <c r="P152" s="10">
        <f t="shared" ref="P152" si="188">P150*6+P151*6</f>
        <v>235209</v>
      </c>
      <c r="Q152" s="10">
        <f t="shared" ref="Q152" si="189">Q150*6+Q151*6</f>
        <v>313732.62</v>
      </c>
      <c r="R152" s="10">
        <f t="shared" ref="R152" si="190">R150*6+R151*6</f>
        <v>3007780.3199999994</v>
      </c>
      <c r="S152" s="51"/>
      <c r="T152" s="38"/>
      <c r="U152" s="38"/>
      <c r="V152" s="38"/>
    </row>
    <row r="153" spans="1:22" ht="15" customHeight="1" x14ac:dyDescent="0.25">
      <c r="A153" s="127" t="s">
        <v>74</v>
      </c>
      <c r="B153" s="128"/>
      <c r="C153" s="128"/>
      <c r="D153" s="128"/>
      <c r="E153" s="128"/>
      <c r="F153" s="128"/>
      <c r="G153" s="21">
        <f>G152</f>
        <v>253302</v>
      </c>
      <c r="H153" s="21">
        <f t="shared" ref="H153:R153" si="191">H152</f>
        <v>21711.599999999999</v>
      </c>
      <c r="I153" s="21">
        <f t="shared" si="191"/>
        <v>345214.44</v>
      </c>
      <c r="J153" s="21">
        <f t="shared" si="191"/>
        <v>665098.67999999993</v>
      </c>
      <c r="K153" s="21">
        <f t="shared" si="191"/>
        <v>277184.76</v>
      </c>
      <c r="L153" s="21">
        <f t="shared" si="191"/>
        <v>341957.7</v>
      </c>
      <c r="M153" s="21">
        <f t="shared" si="191"/>
        <v>193233.24</v>
      </c>
      <c r="N153" s="21">
        <f t="shared" si="191"/>
        <v>209878.8</v>
      </c>
      <c r="O153" s="21">
        <f t="shared" si="191"/>
        <v>151257.47999999998</v>
      </c>
      <c r="P153" s="21">
        <f t="shared" si="191"/>
        <v>235209</v>
      </c>
      <c r="Q153" s="21">
        <f t="shared" si="191"/>
        <v>313732.62</v>
      </c>
      <c r="R153" s="106">
        <f t="shared" si="191"/>
        <v>3007780.3199999994</v>
      </c>
      <c r="S153" s="49"/>
      <c r="T153" s="37">
        <f>951225.31+1279287.48</f>
        <v>2230512.79</v>
      </c>
      <c r="U153" s="37">
        <f>69589.35+128473.1</f>
        <v>198062.45</v>
      </c>
      <c r="V153" s="38"/>
    </row>
    <row r="154" spans="1:22" ht="15.75" customHeight="1" x14ac:dyDescent="0.25">
      <c r="A154" s="127" t="s">
        <v>75</v>
      </c>
      <c r="B154" s="128"/>
      <c r="C154" s="128"/>
      <c r="D154" s="128"/>
      <c r="E154" s="128"/>
      <c r="F154" s="128"/>
      <c r="G154" s="21">
        <f>$R154/$R153*G153</f>
        <v>253302</v>
      </c>
      <c r="H154" s="21">
        <f t="shared" ref="H154" si="192">$R154/$R153*H153</f>
        <v>21711.599999999999</v>
      </c>
      <c r="I154" s="21">
        <f t="shared" ref="I154:K154" si="193">$R154/$R153*I153</f>
        <v>345214.44</v>
      </c>
      <c r="J154" s="21">
        <f t="shared" si="193"/>
        <v>665098.67999999993</v>
      </c>
      <c r="K154" s="21">
        <f t="shared" si="193"/>
        <v>277184.76</v>
      </c>
      <c r="L154" s="21">
        <f t="shared" ref="L154" si="194">$R154/$R153*L153</f>
        <v>341957.7</v>
      </c>
      <c r="M154" s="21">
        <f t="shared" ref="M154" si="195">$R154/$R153*M153</f>
        <v>193233.24</v>
      </c>
      <c r="N154" s="21">
        <f t="shared" ref="N154" si="196">$R154/$R153*N153</f>
        <v>209878.8</v>
      </c>
      <c r="O154" s="21">
        <f t="shared" ref="O154:P154" si="197">$R154/$R153*O153</f>
        <v>151257.47999999998</v>
      </c>
      <c r="P154" s="21">
        <f t="shared" si="197"/>
        <v>235209</v>
      </c>
      <c r="Q154" s="21">
        <f t="shared" ref="Q154" si="198">$R154/$R153*Q153</f>
        <v>313732.62</v>
      </c>
      <c r="R154" s="107">
        <f>R153-R155</f>
        <v>3007780.3199999994</v>
      </c>
      <c r="S154" s="49">
        <f>R154/R153*100</f>
        <v>100</v>
      </c>
      <c r="T154" s="37">
        <v>1216955.8400000001</v>
      </c>
      <c r="U154" s="37">
        <v>121444.22</v>
      </c>
      <c r="V154" s="38"/>
    </row>
    <row r="155" spans="1:22" ht="18.75" customHeight="1" x14ac:dyDescent="0.25">
      <c r="A155" s="121" t="s">
        <v>18</v>
      </c>
      <c r="B155" s="122"/>
      <c r="C155" s="122"/>
      <c r="D155" s="122"/>
      <c r="E155" s="122"/>
      <c r="F155" s="122"/>
      <c r="G155" s="21">
        <f>$R155/$R153*G153</f>
        <v>0</v>
      </c>
      <c r="H155" s="21">
        <f>$R155/$R153*H153</f>
        <v>0</v>
      </c>
      <c r="I155" s="21">
        <f t="shared" ref="I155:N155" si="199">$R155/$R153*I153</f>
        <v>0</v>
      </c>
      <c r="J155" s="21">
        <f t="shared" ref="J155:K155" si="200">$R155/$R153*J153</f>
        <v>0</v>
      </c>
      <c r="K155" s="21">
        <f t="shared" si="200"/>
        <v>0</v>
      </c>
      <c r="L155" s="21">
        <f t="shared" si="199"/>
        <v>0</v>
      </c>
      <c r="M155" s="21">
        <f t="shared" si="199"/>
        <v>0</v>
      </c>
      <c r="N155" s="21">
        <f t="shared" si="199"/>
        <v>0</v>
      </c>
      <c r="O155" s="21">
        <f>$R155/$R153*O153</f>
        <v>0</v>
      </c>
      <c r="P155" s="21">
        <f>$R155/$R153*P153</f>
        <v>0</v>
      </c>
      <c r="Q155" s="21">
        <f t="shared" ref="Q155" si="201">$R155/$R153*Q153</f>
        <v>0</v>
      </c>
      <c r="R155" s="108"/>
      <c r="S155" s="49"/>
      <c r="T155" s="37">
        <f>T153-T154</f>
        <v>1013556.95</v>
      </c>
      <c r="U155" s="37">
        <f>U153-U154</f>
        <v>76618.23000000001</v>
      </c>
      <c r="V155" s="38">
        <f>T155+U155</f>
        <v>1090175.18</v>
      </c>
    </row>
    <row r="156" spans="1:22" x14ac:dyDescent="0.25">
      <c r="A156" s="132" t="s">
        <v>17</v>
      </c>
      <c r="B156" s="133"/>
      <c r="C156" s="133"/>
      <c r="D156" s="133"/>
      <c r="E156" s="133"/>
      <c r="F156" s="133"/>
      <c r="G156" s="9"/>
      <c r="H156" s="9"/>
      <c r="I156" s="9"/>
      <c r="J156" s="9"/>
      <c r="K156" s="9"/>
      <c r="L156" s="10">
        <f>L157+L158+L159+L160+L161+L162+L163</f>
        <v>7424.2180000000008</v>
      </c>
      <c r="M156" s="9"/>
      <c r="N156" s="9"/>
      <c r="O156" s="9"/>
      <c r="P156" s="9"/>
      <c r="Q156" s="9"/>
      <c r="R156" s="62"/>
      <c r="S156" s="49"/>
      <c r="T156" s="37"/>
      <c r="U156" s="37"/>
      <c r="V156" s="38"/>
    </row>
    <row r="157" spans="1:22" ht="19.5" customHeight="1" x14ac:dyDescent="0.25">
      <c r="A157" s="118" t="s">
        <v>50</v>
      </c>
      <c r="B157" s="119"/>
      <c r="C157" s="119"/>
      <c r="D157" s="119"/>
      <c r="E157" s="119"/>
      <c r="F157" s="120"/>
      <c r="G157" s="23"/>
      <c r="H157" s="23"/>
      <c r="I157" s="23"/>
      <c r="J157" s="23"/>
      <c r="K157" s="23"/>
      <c r="L157" s="111">
        <f>1127.04/5</f>
        <v>225.40799999999999</v>
      </c>
      <c r="M157" s="23"/>
      <c r="N157" s="23"/>
      <c r="O157" s="23"/>
      <c r="P157" s="23"/>
      <c r="Q157" s="23"/>
      <c r="R157" s="64"/>
      <c r="S157" s="54"/>
      <c r="T157" s="42"/>
      <c r="U157" s="42"/>
      <c r="V157" s="47"/>
    </row>
    <row r="158" spans="1:22" ht="17.25" customHeight="1" x14ac:dyDescent="0.25">
      <c r="A158" s="118" t="s">
        <v>79</v>
      </c>
      <c r="B158" s="119"/>
      <c r="C158" s="119"/>
      <c r="D158" s="119"/>
      <c r="E158" s="119"/>
      <c r="F158" s="120"/>
      <c r="G158" s="23"/>
      <c r="H158" s="23"/>
      <c r="I158" s="23"/>
      <c r="J158" s="23"/>
      <c r="K158" s="23"/>
      <c r="L158" s="111">
        <v>7198.81</v>
      </c>
      <c r="M158" s="23"/>
      <c r="N158" s="23"/>
      <c r="O158" s="23"/>
      <c r="P158" s="23"/>
      <c r="Q158" s="23"/>
      <c r="R158" s="64"/>
      <c r="S158" s="54"/>
      <c r="T158" s="42"/>
      <c r="U158" s="42"/>
      <c r="V158" s="47"/>
    </row>
    <row r="159" spans="1:22" ht="21" customHeight="1" x14ac:dyDescent="0.25">
      <c r="A159" s="118"/>
      <c r="B159" s="119"/>
      <c r="C159" s="119"/>
      <c r="D159" s="119"/>
      <c r="E159" s="119"/>
      <c r="F159" s="120"/>
      <c r="G159" s="23"/>
      <c r="H159" s="23"/>
      <c r="I159" s="23"/>
      <c r="J159" s="23"/>
      <c r="K159" s="23"/>
      <c r="L159" s="34"/>
      <c r="M159" s="23"/>
      <c r="N159" s="23"/>
      <c r="O159" s="23"/>
      <c r="P159" s="23"/>
      <c r="Q159" s="23"/>
      <c r="R159" s="64"/>
      <c r="S159" s="54"/>
      <c r="T159" s="42"/>
      <c r="U159" s="42"/>
      <c r="V159" s="47"/>
    </row>
    <row r="160" spans="1:22" ht="21" customHeight="1" x14ac:dyDescent="0.25">
      <c r="A160" s="118"/>
      <c r="B160" s="119"/>
      <c r="C160" s="119"/>
      <c r="D160" s="119"/>
      <c r="E160" s="119"/>
      <c r="F160" s="120"/>
      <c r="G160" s="23"/>
      <c r="H160" s="23"/>
      <c r="I160" s="23"/>
      <c r="J160" s="23"/>
      <c r="K160" s="23"/>
      <c r="L160" s="34"/>
      <c r="M160" s="23"/>
      <c r="N160" s="23"/>
      <c r="O160" s="23"/>
      <c r="P160" s="23"/>
      <c r="Q160" s="23"/>
      <c r="R160" s="64"/>
      <c r="S160" s="54"/>
      <c r="T160" s="42"/>
      <c r="U160" s="42"/>
      <c r="V160" s="47"/>
    </row>
    <row r="161" spans="1:22" x14ac:dyDescent="0.25">
      <c r="A161" s="118"/>
      <c r="B161" s="119"/>
      <c r="C161" s="119"/>
      <c r="D161" s="119"/>
      <c r="E161" s="119"/>
      <c r="F161" s="120"/>
      <c r="G161" s="23"/>
      <c r="H161" s="23"/>
      <c r="I161" s="23"/>
      <c r="J161" s="23"/>
      <c r="K161" s="23"/>
      <c r="L161" s="34"/>
      <c r="M161" s="23"/>
      <c r="N161" s="23"/>
      <c r="O161" s="23"/>
      <c r="P161" s="23"/>
      <c r="Q161" s="23"/>
      <c r="R161" s="64"/>
      <c r="S161" s="54"/>
      <c r="T161" s="42"/>
      <c r="U161" s="42"/>
      <c r="V161" s="47"/>
    </row>
    <row r="162" spans="1:22" x14ac:dyDescent="0.25">
      <c r="A162" s="118"/>
      <c r="B162" s="119"/>
      <c r="C162" s="119"/>
      <c r="D162" s="119"/>
      <c r="E162" s="119"/>
      <c r="F162" s="120"/>
      <c r="G162" s="23"/>
      <c r="H162" s="23"/>
      <c r="I162" s="23"/>
      <c r="J162" s="23"/>
      <c r="K162" s="23"/>
      <c r="L162" s="34"/>
      <c r="M162" s="23"/>
      <c r="N162" s="23"/>
      <c r="O162" s="23"/>
      <c r="P162" s="23"/>
      <c r="Q162" s="23"/>
      <c r="R162" s="64"/>
      <c r="S162" s="54"/>
      <c r="T162" s="42"/>
      <c r="U162" s="42"/>
      <c r="V162" s="47"/>
    </row>
    <row r="163" spans="1:22" x14ac:dyDescent="0.25">
      <c r="A163" s="118"/>
      <c r="B163" s="119"/>
      <c r="C163" s="119"/>
      <c r="D163" s="119"/>
      <c r="E163" s="119"/>
      <c r="F163" s="120"/>
      <c r="G163" s="23"/>
      <c r="H163" s="23"/>
      <c r="I163" s="23"/>
      <c r="J163" s="23"/>
      <c r="K163" s="23"/>
      <c r="L163" s="34"/>
      <c r="M163" s="23"/>
      <c r="N163" s="23"/>
      <c r="O163" s="23"/>
      <c r="P163" s="23"/>
      <c r="Q163" s="23"/>
      <c r="R163" s="64"/>
      <c r="S163" s="54"/>
      <c r="T163" s="42"/>
      <c r="U163" s="42"/>
      <c r="V163" s="47"/>
    </row>
    <row r="164" spans="1:22" ht="15.75" thickBot="1" x14ac:dyDescent="0.3">
      <c r="A164" s="136" t="s">
        <v>20</v>
      </c>
      <c r="B164" s="137"/>
      <c r="C164" s="137"/>
      <c r="D164" s="137"/>
      <c r="E164" s="137"/>
      <c r="F164" s="137"/>
      <c r="G164" s="14"/>
      <c r="H164" s="14"/>
      <c r="I164" s="14"/>
      <c r="J164" s="14"/>
      <c r="K164" s="14"/>
      <c r="L164" s="26">
        <f>L154-L156</f>
        <v>334533.48200000002</v>
      </c>
      <c r="M164" s="14"/>
      <c r="N164" s="14"/>
      <c r="O164" s="14"/>
      <c r="P164" s="14"/>
      <c r="Q164" s="14"/>
      <c r="R164" s="63"/>
      <c r="S164" s="52"/>
      <c r="T164" s="39"/>
      <c r="U164" s="39"/>
      <c r="V164" s="45"/>
    </row>
    <row r="165" spans="1:22" x14ac:dyDescent="0.25">
      <c r="A165" s="91" t="s">
        <v>27</v>
      </c>
      <c r="B165" s="87" t="s">
        <v>33</v>
      </c>
      <c r="C165" s="12">
        <v>4</v>
      </c>
      <c r="D165" s="13">
        <v>5348.4</v>
      </c>
      <c r="E165" s="13"/>
      <c r="F165" s="13">
        <f t="shared" si="14"/>
        <v>5348.4</v>
      </c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65"/>
      <c r="S165" s="55"/>
      <c r="T165" s="41"/>
      <c r="U165" s="41"/>
      <c r="V165" s="46"/>
    </row>
    <row r="166" spans="1:22" s="3" customFormat="1" ht="21" hidden="1" customHeight="1" x14ac:dyDescent="0.25">
      <c r="A166" s="123" t="s">
        <v>30</v>
      </c>
      <c r="B166" s="124"/>
      <c r="C166" s="124"/>
      <c r="D166" s="124"/>
      <c r="E166" s="124"/>
      <c r="F166" s="124"/>
      <c r="G166" s="11">
        <f t="shared" ref="G166:R166" si="202">$F$165*G$8</f>
        <v>0</v>
      </c>
      <c r="H166" s="11">
        <f t="shared" si="202"/>
        <v>0</v>
      </c>
      <c r="I166" s="11">
        <f t="shared" si="202"/>
        <v>0</v>
      </c>
      <c r="J166" s="11">
        <f t="shared" si="202"/>
        <v>0</v>
      </c>
      <c r="K166" s="11">
        <f t="shared" si="202"/>
        <v>0</v>
      </c>
      <c r="L166" s="11">
        <f t="shared" si="202"/>
        <v>0</v>
      </c>
      <c r="M166" s="11">
        <f t="shared" si="202"/>
        <v>0</v>
      </c>
      <c r="N166" s="11">
        <f t="shared" si="202"/>
        <v>0</v>
      </c>
      <c r="O166" s="11">
        <f t="shared" si="202"/>
        <v>0</v>
      </c>
      <c r="P166" s="11">
        <f t="shared" si="202"/>
        <v>0</v>
      </c>
      <c r="Q166" s="11">
        <f t="shared" si="202"/>
        <v>0</v>
      </c>
      <c r="R166" s="61">
        <f t="shared" si="202"/>
        <v>0</v>
      </c>
      <c r="S166" s="50"/>
      <c r="T166" s="37"/>
      <c r="U166" s="37"/>
      <c r="V166" s="38"/>
    </row>
    <row r="167" spans="1:22" s="3" customFormat="1" ht="21" customHeight="1" x14ac:dyDescent="0.25">
      <c r="A167" s="123" t="s">
        <v>49</v>
      </c>
      <c r="B167" s="124"/>
      <c r="C167" s="124"/>
      <c r="D167" s="124"/>
      <c r="E167" s="124"/>
      <c r="F167" s="124"/>
      <c r="G167" s="11">
        <f t="shared" ref="G167:V167" si="203">$F$165*G$9</f>
        <v>18719.399999999998</v>
      </c>
      <c r="H167" s="11">
        <f t="shared" si="203"/>
        <v>1604.5199999999998</v>
      </c>
      <c r="I167" s="11">
        <f t="shared" si="203"/>
        <v>25511.867999999995</v>
      </c>
      <c r="J167" s="11">
        <f t="shared" si="203"/>
        <v>49151.795999999995</v>
      </c>
      <c r="K167" s="11">
        <f t="shared" si="203"/>
        <v>20484.371999999999</v>
      </c>
      <c r="L167" s="11">
        <f t="shared" si="203"/>
        <v>24335.219999999998</v>
      </c>
      <c r="M167" s="11">
        <f t="shared" si="203"/>
        <v>14280.227999999999</v>
      </c>
      <c r="N167" s="11">
        <f t="shared" si="203"/>
        <v>15510.359999999999</v>
      </c>
      <c r="O167" s="11">
        <f t="shared" si="203"/>
        <v>11178.155999999999</v>
      </c>
      <c r="P167" s="11">
        <f t="shared" si="203"/>
        <v>17382.3</v>
      </c>
      <c r="Q167" s="11">
        <f t="shared" si="203"/>
        <v>18986.819999999996</v>
      </c>
      <c r="R167" s="11">
        <f t="shared" si="203"/>
        <v>217145.03999999995</v>
      </c>
      <c r="S167" s="11">
        <f t="shared" si="203"/>
        <v>0</v>
      </c>
      <c r="T167" s="11">
        <f t="shared" si="203"/>
        <v>0</v>
      </c>
      <c r="U167" s="11">
        <f t="shared" si="203"/>
        <v>0</v>
      </c>
      <c r="V167" s="11">
        <f t="shared" si="203"/>
        <v>0</v>
      </c>
    </row>
    <row r="168" spans="1:22" s="3" customFormat="1" ht="21" customHeight="1" x14ac:dyDescent="0.25">
      <c r="A168" s="123" t="s">
        <v>76</v>
      </c>
      <c r="B168" s="124"/>
      <c r="C168" s="124"/>
      <c r="D168" s="124"/>
      <c r="E168" s="124"/>
      <c r="F168" s="124"/>
      <c r="G168" s="11">
        <f>$F$165*G$10</f>
        <v>18719.399999999998</v>
      </c>
      <c r="H168" s="11">
        <f t="shared" ref="H168:V168" si="204">$F$165*H$10</f>
        <v>1604.5199999999998</v>
      </c>
      <c r="I168" s="11">
        <f t="shared" si="204"/>
        <v>25511.867999999995</v>
      </c>
      <c r="J168" s="11">
        <f t="shared" si="204"/>
        <v>49151.795999999995</v>
      </c>
      <c r="K168" s="11">
        <f t="shared" si="204"/>
        <v>20484.371999999999</v>
      </c>
      <c r="L168" s="11">
        <f t="shared" si="204"/>
        <v>26207.16</v>
      </c>
      <c r="M168" s="11">
        <f t="shared" si="204"/>
        <v>14280.227999999999</v>
      </c>
      <c r="N168" s="11">
        <f t="shared" si="204"/>
        <v>15510.359999999999</v>
      </c>
      <c r="O168" s="11">
        <f t="shared" si="204"/>
        <v>11178.155999999999</v>
      </c>
      <c r="P168" s="11">
        <f t="shared" si="204"/>
        <v>17382.3</v>
      </c>
      <c r="Q168" s="11">
        <f t="shared" si="204"/>
        <v>27383.807999999997</v>
      </c>
      <c r="R168" s="11">
        <f t="shared" si="204"/>
        <v>227413.96799999994</v>
      </c>
      <c r="S168" s="11">
        <f t="shared" si="204"/>
        <v>0</v>
      </c>
      <c r="T168" s="11">
        <f t="shared" si="204"/>
        <v>0</v>
      </c>
      <c r="U168" s="11">
        <f t="shared" si="204"/>
        <v>0</v>
      </c>
      <c r="V168" s="11">
        <f t="shared" si="204"/>
        <v>0</v>
      </c>
    </row>
    <row r="169" spans="1:22" s="8" customFormat="1" ht="21" customHeight="1" x14ac:dyDescent="0.25">
      <c r="A169" s="125" t="s">
        <v>19</v>
      </c>
      <c r="B169" s="126"/>
      <c r="C169" s="126"/>
      <c r="D169" s="126"/>
      <c r="E169" s="126"/>
      <c r="F169" s="126"/>
      <c r="G169" s="10">
        <f>G167*6+G168*6</f>
        <v>224632.8</v>
      </c>
      <c r="H169" s="10">
        <f t="shared" ref="H169" si="205">H167*6+H168*6</f>
        <v>19254.239999999998</v>
      </c>
      <c r="I169" s="10">
        <f t="shared" ref="I169" si="206">I167*6+I168*6</f>
        <v>306142.41599999997</v>
      </c>
      <c r="J169" s="10">
        <f t="shared" ref="J169" si="207">J167*6+J168*6</f>
        <v>589821.55199999991</v>
      </c>
      <c r="K169" s="10">
        <f t="shared" ref="K169" si="208">K167*6+K168*6</f>
        <v>245812.46399999998</v>
      </c>
      <c r="L169" s="10">
        <f t="shared" ref="L169" si="209">L167*6+L168*6</f>
        <v>303254.27999999997</v>
      </c>
      <c r="M169" s="10">
        <f t="shared" ref="M169" si="210">M167*6+M168*6</f>
        <v>171362.73599999998</v>
      </c>
      <c r="N169" s="10">
        <f t="shared" ref="N169" si="211">N167*6+N168*6</f>
        <v>186124.31999999998</v>
      </c>
      <c r="O169" s="10">
        <f t="shared" ref="O169" si="212">O167*6+O168*6</f>
        <v>134137.87199999997</v>
      </c>
      <c r="P169" s="10">
        <f t="shared" ref="P169" si="213">P167*6+P168*6</f>
        <v>208587.59999999998</v>
      </c>
      <c r="Q169" s="10">
        <f t="shared" ref="Q169" si="214">Q167*6+Q168*6</f>
        <v>278223.76799999998</v>
      </c>
      <c r="R169" s="10">
        <f t="shared" ref="R169" si="215">R167*6+R168*6</f>
        <v>2667354.0479999995</v>
      </c>
      <c r="S169" s="51"/>
      <c r="T169" s="38"/>
      <c r="U169" s="38"/>
      <c r="V169" s="38"/>
    </row>
    <row r="170" spans="1:22" ht="15" customHeight="1" x14ac:dyDescent="0.25">
      <c r="A170" s="127" t="s">
        <v>74</v>
      </c>
      <c r="B170" s="128"/>
      <c r="C170" s="128"/>
      <c r="D170" s="128"/>
      <c r="E170" s="128"/>
      <c r="F170" s="128"/>
      <c r="G170" s="21">
        <f>G169</f>
        <v>224632.8</v>
      </c>
      <c r="H170" s="21">
        <f t="shared" ref="H170:R170" si="216">H169</f>
        <v>19254.239999999998</v>
      </c>
      <c r="I170" s="21">
        <f t="shared" si="216"/>
        <v>306142.41599999997</v>
      </c>
      <c r="J170" s="21">
        <f t="shared" si="216"/>
        <v>589821.55199999991</v>
      </c>
      <c r="K170" s="21">
        <f t="shared" si="216"/>
        <v>245812.46399999998</v>
      </c>
      <c r="L170" s="21">
        <f t="shared" si="216"/>
        <v>303254.27999999997</v>
      </c>
      <c r="M170" s="21">
        <f t="shared" si="216"/>
        <v>171362.73599999998</v>
      </c>
      <c r="N170" s="21">
        <f t="shared" si="216"/>
        <v>186124.31999999998</v>
      </c>
      <c r="O170" s="21">
        <f t="shared" si="216"/>
        <v>134137.87199999997</v>
      </c>
      <c r="P170" s="21">
        <f t="shared" si="216"/>
        <v>208587.59999999998</v>
      </c>
      <c r="Q170" s="21">
        <f t="shared" si="216"/>
        <v>278223.76799999998</v>
      </c>
      <c r="R170" s="106">
        <f t="shared" si="216"/>
        <v>2667354.0479999995</v>
      </c>
      <c r="S170" s="49"/>
      <c r="T170" s="37">
        <f>489224.06+1134589.5</f>
        <v>1623813.56</v>
      </c>
      <c r="U170" s="37">
        <f>46320.96+113941.8</f>
        <v>160262.76</v>
      </c>
      <c r="V170" s="38"/>
    </row>
    <row r="171" spans="1:22" ht="15.75" customHeight="1" x14ac:dyDescent="0.25">
      <c r="A171" s="127" t="s">
        <v>75</v>
      </c>
      <c r="B171" s="128"/>
      <c r="C171" s="128"/>
      <c r="D171" s="128"/>
      <c r="E171" s="128"/>
      <c r="F171" s="128"/>
      <c r="G171" s="21">
        <f>$R171/$R170*G170</f>
        <v>224632.8</v>
      </c>
      <c r="H171" s="21">
        <f t="shared" ref="H171" si="217">$R171/$R170*H170</f>
        <v>19254.239999999998</v>
      </c>
      <c r="I171" s="21">
        <f t="shared" ref="I171:K171" si="218">$R171/$R170*I170</f>
        <v>306142.41599999997</v>
      </c>
      <c r="J171" s="21">
        <f t="shared" si="218"/>
        <v>589821.55199999991</v>
      </c>
      <c r="K171" s="21">
        <f t="shared" si="218"/>
        <v>245812.46399999998</v>
      </c>
      <c r="L171" s="21">
        <f t="shared" ref="L171" si="219">$R171/$R170*L170</f>
        <v>303254.27999999997</v>
      </c>
      <c r="M171" s="21">
        <f t="shared" ref="M171" si="220">$R171/$R170*M170</f>
        <v>171362.73599999998</v>
      </c>
      <c r="N171" s="21">
        <f t="shared" ref="N171" si="221">$R171/$R170*N170</f>
        <v>186124.31999999998</v>
      </c>
      <c r="O171" s="21">
        <f t="shared" ref="O171:P171" si="222">$R171/$R170*O170</f>
        <v>134137.87199999997</v>
      </c>
      <c r="P171" s="21">
        <f t="shared" si="222"/>
        <v>208587.59999999998</v>
      </c>
      <c r="Q171" s="21">
        <f t="shared" ref="Q171" si="223">$R171/$R170*Q170</f>
        <v>278223.76799999998</v>
      </c>
      <c r="R171" s="107">
        <f>R170-R172</f>
        <v>2667354.0479999995</v>
      </c>
      <c r="S171" s="49">
        <f>R171/R170*100</f>
        <v>100</v>
      </c>
      <c r="T171" s="37">
        <v>1156650.74</v>
      </c>
      <c r="U171" s="37">
        <v>114604.57</v>
      </c>
      <c r="V171" s="38"/>
    </row>
    <row r="172" spans="1:22" ht="18.75" customHeight="1" x14ac:dyDescent="0.25">
      <c r="A172" s="121" t="s">
        <v>18</v>
      </c>
      <c r="B172" s="122"/>
      <c r="C172" s="122"/>
      <c r="D172" s="122"/>
      <c r="E172" s="122"/>
      <c r="F172" s="122"/>
      <c r="G172" s="21">
        <f>$R172/$R170*G170</f>
        <v>0</v>
      </c>
      <c r="H172" s="21">
        <f>$R172/$R170*H170</f>
        <v>0</v>
      </c>
      <c r="I172" s="21">
        <f t="shared" ref="I172:N172" si="224">$R172/$R170*I170</f>
        <v>0</v>
      </c>
      <c r="J172" s="21">
        <f t="shared" ref="J172:K172" si="225">$R172/$R170*J170</f>
        <v>0</v>
      </c>
      <c r="K172" s="21">
        <f t="shared" si="225"/>
        <v>0</v>
      </c>
      <c r="L172" s="21">
        <f t="shared" si="224"/>
        <v>0</v>
      </c>
      <c r="M172" s="21">
        <f t="shared" si="224"/>
        <v>0</v>
      </c>
      <c r="N172" s="21">
        <f t="shared" si="224"/>
        <v>0</v>
      </c>
      <c r="O172" s="21">
        <f>$R172/$R170*O170</f>
        <v>0</v>
      </c>
      <c r="P172" s="21">
        <f>$R172/$R170*P170</f>
        <v>0</v>
      </c>
      <c r="Q172" s="21">
        <f t="shared" ref="Q172" si="226">$R172/$R170*Q170</f>
        <v>0</v>
      </c>
      <c r="R172" s="108"/>
      <c r="S172" s="49"/>
      <c r="T172" s="37">
        <f>T170-T171</f>
        <v>467162.82000000007</v>
      </c>
      <c r="U172" s="37">
        <f>U170-U171</f>
        <v>45658.19</v>
      </c>
      <c r="V172" s="38">
        <f>T172+U172</f>
        <v>512821.01000000007</v>
      </c>
    </row>
    <row r="173" spans="1:22" x14ac:dyDescent="0.25">
      <c r="A173" s="132" t="s">
        <v>17</v>
      </c>
      <c r="B173" s="133"/>
      <c r="C173" s="133"/>
      <c r="D173" s="133"/>
      <c r="E173" s="133"/>
      <c r="F173" s="133"/>
      <c r="G173" s="9"/>
      <c r="H173" s="9"/>
      <c r="I173" s="9"/>
      <c r="J173" s="9"/>
      <c r="K173" s="9"/>
      <c r="L173" s="10">
        <f>L174+L175+L176+L177+L178+L179+L180+L181+L182</f>
        <v>0</v>
      </c>
      <c r="M173" s="9"/>
      <c r="N173" s="9"/>
      <c r="O173" s="9"/>
      <c r="P173" s="9"/>
      <c r="Q173" s="9"/>
      <c r="R173" s="62"/>
      <c r="S173" s="49"/>
      <c r="T173" s="37"/>
      <c r="U173" s="37"/>
      <c r="V173" s="38"/>
    </row>
    <row r="174" spans="1:22" ht="30" customHeight="1" x14ac:dyDescent="0.25">
      <c r="A174" s="118"/>
      <c r="B174" s="119"/>
      <c r="C174" s="119"/>
      <c r="D174" s="119"/>
      <c r="E174" s="119"/>
      <c r="F174" s="120"/>
      <c r="G174" s="23"/>
      <c r="H174" s="23"/>
      <c r="I174" s="23"/>
      <c r="J174" s="23"/>
      <c r="K174" s="23"/>
      <c r="L174" s="34"/>
      <c r="M174" s="23"/>
      <c r="N174" s="23"/>
      <c r="O174" s="23"/>
      <c r="P174" s="23"/>
      <c r="Q174" s="23"/>
      <c r="R174" s="64"/>
      <c r="S174" s="54"/>
      <c r="T174" s="42"/>
      <c r="U174" s="42"/>
      <c r="V174" s="47"/>
    </row>
    <row r="175" spans="1:22" ht="49.5" customHeight="1" x14ac:dyDescent="0.25">
      <c r="A175" s="118"/>
      <c r="B175" s="119"/>
      <c r="C175" s="119"/>
      <c r="D175" s="119"/>
      <c r="E175" s="119"/>
      <c r="F175" s="120"/>
      <c r="G175" s="23"/>
      <c r="H175" s="23"/>
      <c r="I175" s="23"/>
      <c r="J175" s="23"/>
      <c r="K175" s="23"/>
      <c r="L175" s="34"/>
      <c r="M175" s="23"/>
      <c r="N175" s="23"/>
      <c r="O175" s="23"/>
      <c r="P175" s="23"/>
      <c r="Q175" s="23"/>
      <c r="R175" s="64"/>
      <c r="S175" s="54"/>
      <c r="T175" s="42"/>
      <c r="U175" s="42"/>
      <c r="V175" s="47"/>
    </row>
    <row r="176" spans="1:22" ht="21" customHeight="1" x14ac:dyDescent="0.25">
      <c r="A176" s="118"/>
      <c r="B176" s="119"/>
      <c r="C176" s="119"/>
      <c r="D176" s="119"/>
      <c r="E176" s="119"/>
      <c r="F176" s="120"/>
      <c r="G176" s="23"/>
      <c r="H176" s="23"/>
      <c r="I176" s="23"/>
      <c r="J176" s="23"/>
      <c r="K176" s="23"/>
      <c r="L176" s="34"/>
      <c r="M176" s="23"/>
      <c r="N176" s="23"/>
      <c r="O176" s="23"/>
      <c r="P176" s="23"/>
      <c r="Q176" s="23"/>
      <c r="R176" s="64"/>
      <c r="S176" s="54"/>
      <c r="T176" s="42"/>
      <c r="U176" s="42"/>
      <c r="V176" s="47"/>
    </row>
    <row r="177" spans="1:22" ht="21" customHeight="1" x14ac:dyDescent="0.25">
      <c r="A177" s="118"/>
      <c r="B177" s="119"/>
      <c r="C177" s="119"/>
      <c r="D177" s="119"/>
      <c r="E177" s="119"/>
      <c r="F177" s="120"/>
      <c r="G177" s="23"/>
      <c r="H177" s="23"/>
      <c r="I177" s="23"/>
      <c r="J177" s="23"/>
      <c r="K177" s="23"/>
      <c r="L177" s="34"/>
      <c r="M177" s="23"/>
      <c r="N177" s="23"/>
      <c r="O177" s="23"/>
      <c r="P177" s="23"/>
      <c r="Q177" s="23"/>
      <c r="R177" s="64"/>
      <c r="S177" s="54"/>
      <c r="T177" s="42"/>
      <c r="U177" s="42"/>
      <c r="V177" s="47"/>
    </row>
    <row r="178" spans="1:22" ht="31.5" customHeight="1" x14ac:dyDescent="0.25">
      <c r="A178" s="118"/>
      <c r="B178" s="119"/>
      <c r="C178" s="119"/>
      <c r="D178" s="119"/>
      <c r="E178" s="119"/>
      <c r="F178" s="120"/>
      <c r="G178" s="23"/>
      <c r="H178" s="23"/>
      <c r="I178" s="23"/>
      <c r="J178" s="23"/>
      <c r="K178" s="23"/>
      <c r="L178" s="34"/>
      <c r="M178" s="23"/>
      <c r="N178" s="23"/>
      <c r="O178" s="23"/>
      <c r="P178" s="23"/>
      <c r="Q178" s="23"/>
      <c r="R178" s="64"/>
      <c r="S178" s="54"/>
      <c r="T178" s="42"/>
      <c r="U178" s="42"/>
      <c r="V178" s="47"/>
    </row>
    <row r="179" spans="1:22" ht="16.5" customHeight="1" x14ac:dyDescent="0.25">
      <c r="A179" s="118"/>
      <c r="B179" s="119"/>
      <c r="C179" s="119"/>
      <c r="D179" s="119"/>
      <c r="E179" s="119"/>
      <c r="F179" s="120"/>
      <c r="G179" s="23"/>
      <c r="H179" s="23"/>
      <c r="I179" s="23"/>
      <c r="J179" s="23"/>
      <c r="K179" s="23"/>
      <c r="L179" s="34"/>
      <c r="M179" s="23"/>
      <c r="N179" s="23"/>
      <c r="O179" s="23"/>
      <c r="P179" s="23"/>
      <c r="Q179" s="23"/>
      <c r="R179" s="64"/>
      <c r="S179" s="54"/>
      <c r="T179" s="42"/>
      <c r="U179" s="42"/>
      <c r="V179" s="47"/>
    </row>
    <row r="180" spans="1:22" ht="31.5" customHeight="1" x14ac:dyDescent="0.25">
      <c r="A180" s="118"/>
      <c r="B180" s="119"/>
      <c r="C180" s="119"/>
      <c r="D180" s="119"/>
      <c r="E180" s="119"/>
      <c r="F180" s="120"/>
      <c r="G180" s="23"/>
      <c r="H180" s="23"/>
      <c r="I180" s="23"/>
      <c r="J180" s="23"/>
      <c r="K180" s="23"/>
      <c r="L180" s="34"/>
      <c r="M180" s="23"/>
      <c r="N180" s="23"/>
      <c r="O180" s="23"/>
      <c r="P180" s="23"/>
      <c r="Q180" s="23"/>
      <c r="R180" s="64"/>
      <c r="S180" s="54"/>
      <c r="T180" s="42"/>
      <c r="U180" s="42"/>
      <c r="V180" s="47"/>
    </row>
    <row r="181" spans="1:22" ht="17.25" customHeight="1" x14ac:dyDescent="0.25">
      <c r="A181" s="118"/>
      <c r="B181" s="119"/>
      <c r="C181" s="119"/>
      <c r="D181" s="119"/>
      <c r="E181" s="119"/>
      <c r="F181" s="120"/>
      <c r="G181" s="23"/>
      <c r="H181" s="23"/>
      <c r="I181" s="23"/>
      <c r="J181" s="23"/>
      <c r="K181" s="23"/>
      <c r="L181" s="34"/>
      <c r="M181" s="23"/>
      <c r="N181" s="23"/>
      <c r="O181" s="23"/>
      <c r="P181" s="23"/>
      <c r="Q181" s="23"/>
      <c r="R181" s="64"/>
      <c r="S181" s="54"/>
      <c r="T181" s="42"/>
      <c r="U181" s="42"/>
      <c r="V181" s="47"/>
    </row>
    <row r="182" spans="1:22" ht="25.5" customHeight="1" x14ac:dyDescent="0.25">
      <c r="A182" s="118"/>
      <c r="B182" s="119"/>
      <c r="C182" s="119"/>
      <c r="D182" s="119"/>
      <c r="E182" s="119"/>
      <c r="F182" s="120"/>
      <c r="G182" s="23"/>
      <c r="H182" s="23"/>
      <c r="I182" s="23"/>
      <c r="J182" s="23"/>
      <c r="K182" s="23"/>
      <c r="L182" s="34"/>
      <c r="M182" s="23"/>
      <c r="N182" s="23"/>
      <c r="O182" s="23"/>
      <c r="P182" s="23"/>
      <c r="Q182" s="23"/>
      <c r="R182" s="64"/>
      <c r="S182" s="54"/>
      <c r="T182" s="42"/>
      <c r="U182" s="42"/>
      <c r="V182" s="47"/>
    </row>
    <row r="183" spans="1:22" ht="15.75" thickBot="1" x14ac:dyDescent="0.3">
      <c r="A183" s="134" t="s">
        <v>20</v>
      </c>
      <c r="B183" s="135"/>
      <c r="C183" s="135"/>
      <c r="D183" s="135"/>
      <c r="E183" s="135"/>
      <c r="F183" s="135"/>
      <c r="G183" s="23"/>
      <c r="H183" s="23"/>
      <c r="I183" s="23"/>
      <c r="J183" s="23"/>
      <c r="K183" s="23"/>
      <c r="L183" s="28">
        <f>L171-L173</f>
        <v>303254.27999999997</v>
      </c>
      <c r="M183" s="23"/>
      <c r="N183" s="23"/>
      <c r="O183" s="23"/>
      <c r="P183" s="23"/>
      <c r="Q183" s="23"/>
      <c r="R183" s="64"/>
      <c r="S183" s="54"/>
      <c r="T183" s="42"/>
      <c r="U183" s="42"/>
      <c r="V183" s="47"/>
    </row>
    <row r="184" spans="1:22" s="5" customFormat="1" ht="36.75" customHeight="1" x14ac:dyDescent="0.25">
      <c r="A184" s="140" t="s">
        <v>35</v>
      </c>
      <c r="B184" s="141"/>
      <c r="C184" s="141"/>
      <c r="D184" s="141"/>
      <c r="E184" s="141"/>
      <c r="F184" s="141"/>
      <c r="G184" s="141"/>
      <c r="H184" s="141"/>
      <c r="I184" s="141"/>
      <c r="J184" s="141"/>
      <c r="K184" s="141"/>
      <c r="L184" s="141"/>
      <c r="M184" s="141"/>
      <c r="N184" s="141"/>
      <c r="O184" s="141"/>
      <c r="P184" s="141"/>
      <c r="Q184" s="141"/>
      <c r="R184" s="142"/>
      <c r="S184" s="56"/>
      <c r="T184" s="43"/>
      <c r="U184" s="43"/>
      <c r="V184" s="43"/>
    </row>
    <row r="185" spans="1:22" ht="21.75" hidden="1" customHeight="1" thickBot="1" x14ac:dyDescent="0.3">
      <c r="A185" s="138" t="s">
        <v>26</v>
      </c>
      <c r="B185" s="139"/>
      <c r="C185" s="139"/>
      <c r="D185" s="139"/>
      <c r="E185" s="139"/>
      <c r="F185" s="139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60"/>
      <c r="S185" s="52"/>
      <c r="T185" s="39"/>
      <c r="U185" s="39"/>
      <c r="V185" s="45"/>
    </row>
    <row r="186" spans="1:22" ht="21.75" customHeight="1" thickBot="1" x14ac:dyDescent="0.3">
      <c r="A186" s="121" t="s">
        <v>77</v>
      </c>
      <c r="B186" s="122"/>
      <c r="C186" s="122"/>
      <c r="D186" s="122"/>
      <c r="E186" s="122"/>
      <c r="F186" s="122"/>
      <c r="G186" s="83">
        <v>3.4</v>
      </c>
      <c r="H186" s="83">
        <v>0.3</v>
      </c>
      <c r="I186" s="83">
        <v>4.7699999999999996</v>
      </c>
      <c r="J186" s="83">
        <v>9.19</v>
      </c>
      <c r="K186" s="83"/>
      <c r="L186" s="83">
        <v>4.55</v>
      </c>
      <c r="M186" s="83">
        <v>2.67</v>
      </c>
      <c r="N186" s="83">
        <v>2.9</v>
      </c>
      <c r="O186" s="83">
        <v>2.09</v>
      </c>
      <c r="P186" s="83">
        <v>4</v>
      </c>
      <c r="Q186" s="83">
        <v>3.55</v>
      </c>
      <c r="R186" s="85">
        <f>SUM(G186:Q186)</f>
        <v>37.419999999999987</v>
      </c>
      <c r="S186" s="52"/>
      <c r="T186" s="39"/>
      <c r="U186" s="39"/>
      <c r="V186" s="45"/>
    </row>
    <row r="187" spans="1:22" ht="21.75" customHeight="1" thickBot="1" x14ac:dyDescent="0.3">
      <c r="A187" s="180" t="s">
        <v>73</v>
      </c>
      <c r="B187" s="181"/>
      <c r="C187" s="181"/>
      <c r="D187" s="181"/>
      <c r="E187" s="181"/>
      <c r="F187" s="181"/>
      <c r="G187" s="18">
        <v>3.4</v>
      </c>
      <c r="H187" s="18">
        <v>0.3</v>
      </c>
      <c r="I187" s="18">
        <v>4.7699999999999996</v>
      </c>
      <c r="J187" s="18">
        <v>9.19</v>
      </c>
      <c r="K187" s="18"/>
      <c r="L187" s="71">
        <v>4.9000000000000004</v>
      </c>
      <c r="M187" s="18">
        <v>2.67</v>
      </c>
      <c r="N187" s="18">
        <v>2.9</v>
      </c>
      <c r="O187" s="18">
        <v>2.09</v>
      </c>
      <c r="P187" s="18">
        <v>4</v>
      </c>
      <c r="Q187" s="18">
        <v>5.12</v>
      </c>
      <c r="R187" s="95">
        <f>SUM(G187:Q187)</f>
        <v>39.339999999999996</v>
      </c>
      <c r="S187" s="92"/>
      <c r="T187" s="93"/>
      <c r="U187" s="93"/>
      <c r="V187" s="94"/>
    </row>
    <row r="188" spans="1:22" ht="21" customHeight="1" x14ac:dyDescent="0.25">
      <c r="A188" s="91" t="s">
        <v>27</v>
      </c>
      <c r="B188" s="87">
        <v>32</v>
      </c>
      <c r="C188" s="12">
        <v>9</v>
      </c>
      <c r="D188" s="13">
        <v>3016.5</v>
      </c>
      <c r="E188" s="13">
        <v>495.5</v>
      </c>
      <c r="F188" s="13">
        <f>D188+E188</f>
        <v>3512</v>
      </c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65"/>
      <c r="S188" s="55"/>
      <c r="T188" s="41"/>
      <c r="U188" s="41"/>
      <c r="V188" s="46"/>
    </row>
    <row r="189" spans="1:22" s="3" customFormat="1" ht="21" hidden="1" customHeight="1" x14ac:dyDescent="0.25">
      <c r="A189" s="123" t="s">
        <v>30</v>
      </c>
      <c r="B189" s="124"/>
      <c r="C189" s="124"/>
      <c r="D189" s="124"/>
      <c r="E189" s="124"/>
      <c r="F189" s="124"/>
      <c r="G189" s="11">
        <f>$F$188*G$185</f>
        <v>0</v>
      </c>
      <c r="H189" s="11">
        <f t="shared" ref="H189:Q189" si="227">$F$188*H$185</f>
        <v>0</v>
      </c>
      <c r="I189" s="11">
        <f t="shared" si="227"/>
        <v>0</v>
      </c>
      <c r="J189" s="11">
        <f t="shared" si="227"/>
        <v>0</v>
      </c>
      <c r="K189" s="11">
        <f t="shared" si="227"/>
        <v>0</v>
      </c>
      <c r="L189" s="11">
        <f t="shared" si="227"/>
        <v>0</v>
      </c>
      <c r="M189" s="11">
        <f t="shared" si="227"/>
        <v>0</v>
      </c>
      <c r="N189" s="11">
        <f t="shared" si="227"/>
        <v>0</v>
      </c>
      <c r="O189" s="11">
        <f t="shared" si="227"/>
        <v>0</v>
      </c>
      <c r="P189" s="11">
        <f t="shared" si="227"/>
        <v>0</v>
      </c>
      <c r="Q189" s="11">
        <f t="shared" si="227"/>
        <v>0</v>
      </c>
      <c r="R189" s="61">
        <f>$F$188*R$185</f>
        <v>0</v>
      </c>
      <c r="S189" s="50"/>
      <c r="T189" s="37"/>
      <c r="U189" s="37"/>
      <c r="V189" s="38"/>
    </row>
    <row r="190" spans="1:22" s="3" customFormat="1" ht="21" customHeight="1" x14ac:dyDescent="0.25">
      <c r="A190" s="123" t="s">
        <v>49</v>
      </c>
      <c r="B190" s="124"/>
      <c r="C190" s="124"/>
      <c r="D190" s="124"/>
      <c r="E190" s="124"/>
      <c r="F190" s="124"/>
      <c r="G190" s="11">
        <f>$F$188*G$186</f>
        <v>11940.8</v>
      </c>
      <c r="H190" s="11">
        <f t="shared" ref="H190:R190" si="228">$F$188*H$186</f>
        <v>1053.5999999999999</v>
      </c>
      <c r="I190" s="11">
        <f t="shared" si="228"/>
        <v>16752.239999999998</v>
      </c>
      <c r="J190" s="11">
        <f t="shared" si="228"/>
        <v>32275.279999999999</v>
      </c>
      <c r="K190" s="11">
        <f t="shared" si="228"/>
        <v>0</v>
      </c>
      <c r="L190" s="11">
        <f t="shared" si="228"/>
        <v>15979.599999999999</v>
      </c>
      <c r="M190" s="11">
        <f t="shared" si="228"/>
        <v>9377.0399999999991</v>
      </c>
      <c r="N190" s="11">
        <f t="shared" si="228"/>
        <v>10184.799999999999</v>
      </c>
      <c r="O190" s="11">
        <f t="shared" si="228"/>
        <v>7340.08</v>
      </c>
      <c r="P190" s="11">
        <f t="shared" si="228"/>
        <v>14048</v>
      </c>
      <c r="Q190" s="11">
        <f t="shared" si="228"/>
        <v>12467.599999999999</v>
      </c>
      <c r="R190" s="11">
        <f t="shared" si="228"/>
        <v>131419.03999999995</v>
      </c>
      <c r="S190" s="50"/>
      <c r="T190" s="37"/>
      <c r="U190" s="37"/>
      <c r="V190" s="38"/>
    </row>
    <row r="191" spans="1:22" s="3" customFormat="1" ht="21" customHeight="1" x14ac:dyDescent="0.25">
      <c r="A191" s="123" t="s">
        <v>76</v>
      </c>
      <c r="B191" s="124"/>
      <c r="C191" s="124"/>
      <c r="D191" s="124"/>
      <c r="E191" s="124"/>
      <c r="F191" s="124"/>
      <c r="G191" s="11">
        <f>$F$188*G$187</f>
        <v>11940.8</v>
      </c>
      <c r="H191" s="11">
        <f t="shared" ref="H191:R191" si="229">$F$188*H$187</f>
        <v>1053.5999999999999</v>
      </c>
      <c r="I191" s="11">
        <f t="shared" si="229"/>
        <v>16752.239999999998</v>
      </c>
      <c r="J191" s="11">
        <f t="shared" si="229"/>
        <v>32275.279999999999</v>
      </c>
      <c r="K191" s="11">
        <f t="shared" si="229"/>
        <v>0</v>
      </c>
      <c r="L191" s="11">
        <f t="shared" si="229"/>
        <v>17208.800000000003</v>
      </c>
      <c r="M191" s="11">
        <f t="shared" si="229"/>
        <v>9377.0399999999991</v>
      </c>
      <c r="N191" s="11">
        <f t="shared" si="229"/>
        <v>10184.799999999999</v>
      </c>
      <c r="O191" s="11">
        <f t="shared" si="229"/>
        <v>7340.08</v>
      </c>
      <c r="P191" s="11">
        <f t="shared" si="229"/>
        <v>14048</v>
      </c>
      <c r="Q191" s="11">
        <f t="shared" si="229"/>
        <v>17981.439999999999</v>
      </c>
      <c r="R191" s="11">
        <f t="shared" si="229"/>
        <v>138162.07999999999</v>
      </c>
      <c r="S191" s="50"/>
      <c r="T191" s="37"/>
      <c r="U191" s="37"/>
      <c r="V191" s="38"/>
    </row>
    <row r="192" spans="1:22" s="8" customFormat="1" ht="21" customHeight="1" x14ac:dyDescent="0.25">
      <c r="A192" s="125" t="s">
        <v>19</v>
      </c>
      <c r="B192" s="126"/>
      <c r="C192" s="126"/>
      <c r="D192" s="126"/>
      <c r="E192" s="126"/>
      <c r="F192" s="126"/>
      <c r="G192" s="10">
        <f>G190*6+G191*6</f>
        <v>143289.59999999998</v>
      </c>
      <c r="H192" s="10">
        <f t="shared" ref="H192" si="230">H190*6+H191*6</f>
        <v>12643.199999999999</v>
      </c>
      <c r="I192" s="10">
        <f t="shared" ref="I192" si="231">I190*6+I191*6</f>
        <v>201026.87999999998</v>
      </c>
      <c r="J192" s="10">
        <f t="shared" ref="J192" si="232">J190*6+J191*6</f>
        <v>387303.36</v>
      </c>
      <c r="K192" s="10">
        <f t="shared" ref="K192" si="233">K190*6+K191*6</f>
        <v>0</v>
      </c>
      <c r="L192" s="10">
        <f t="shared" ref="L192" si="234">L190*6+L191*6</f>
        <v>199130.40000000002</v>
      </c>
      <c r="M192" s="10">
        <f t="shared" ref="M192" si="235">M190*6+M191*6</f>
        <v>112524.47999999998</v>
      </c>
      <c r="N192" s="10">
        <f t="shared" ref="N192" si="236">N190*6+N191*6</f>
        <v>122217.59999999999</v>
      </c>
      <c r="O192" s="10">
        <f t="shared" ref="O192" si="237">O190*6+O191*6</f>
        <v>88080.959999999992</v>
      </c>
      <c r="P192" s="10">
        <f t="shared" ref="P192" si="238">P190*6+P191*6</f>
        <v>168576</v>
      </c>
      <c r="Q192" s="10">
        <f t="shared" ref="Q192" si="239">Q190*6+Q191*6</f>
        <v>182694.24</v>
      </c>
      <c r="R192" s="10">
        <f t="shared" ref="R192" si="240">R190*6+R191*6</f>
        <v>1617486.7199999997</v>
      </c>
      <c r="S192" s="51"/>
      <c r="T192" s="38"/>
      <c r="U192" s="38"/>
      <c r="V192" s="38"/>
    </row>
    <row r="193" spans="1:22" ht="15" customHeight="1" x14ac:dyDescent="0.25">
      <c r="A193" s="127" t="s">
        <v>74</v>
      </c>
      <c r="B193" s="128"/>
      <c r="C193" s="128"/>
      <c r="D193" s="128"/>
      <c r="E193" s="128"/>
      <c r="F193" s="128"/>
      <c r="G193" s="21">
        <f>G192</f>
        <v>143289.59999999998</v>
      </c>
      <c r="H193" s="21">
        <f t="shared" ref="H193:R193" si="241">H192</f>
        <v>12643.199999999999</v>
      </c>
      <c r="I193" s="21">
        <f t="shared" si="241"/>
        <v>201026.87999999998</v>
      </c>
      <c r="J193" s="21">
        <f t="shared" si="241"/>
        <v>387303.36</v>
      </c>
      <c r="K193" s="21">
        <f t="shared" si="241"/>
        <v>0</v>
      </c>
      <c r="L193" s="21">
        <f t="shared" si="241"/>
        <v>199130.40000000002</v>
      </c>
      <c r="M193" s="21">
        <f t="shared" si="241"/>
        <v>112524.47999999998</v>
      </c>
      <c r="N193" s="21">
        <f t="shared" si="241"/>
        <v>122217.59999999999</v>
      </c>
      <c r="O193" s="21">
        <f t="shared" si="241"/>
        <v>88080.959999999992</v>
      </c>
      <c r="P193" s="21">
        <f t="shared" si="241"/>
        <v>168576</v>
      </c>
      <c r="Q193" s="21">
        <f t="shared" si="241"/>
        <v>182694.24</v>
      </c>
      <c r="R193" s="106">
        <f t="shared" si="241"/>
        <v>1617486.7199999997</v>
      </c>
      <c r="S193" s="49"/>
      <c r="T193" s="37">
        <f>534481.56+579020.82</f>
        <v>1113502.3799999999</v>
      </c>
      <c r="U193" s="37">
        <f>57451.38+63698.82</f>
        <v>121150.2</v>
      </c>
      <c r="V193" s="38"/>
    </row>
    <row r="194" spans="1:22" ht="15.75" customHeight="1" x14ac:dyDescent="0.25">
      <c r="A194" s="127" t="s">
        <v>75</v>
      </c>
      <c r="B194" s="128"/>
      <c r="C194" s="128"/>
      <c r="D194" s="128"/>
      <c r="E194" s="128"/>
      <c r="F194" s="128"/>
      <c r="G194" s="21">
        <f>$R194/$R193*G193</f>
        <v>143289.59999999998</v>
      </c>
      <c r="H194" s="21">
        <f t="shared" ref="H194" si="242">$R194/$R193*H193</f>
        <v>12643.199999999999</v>
      </c>
      <c r="I194" s="21">
        <f t="shared" ref="I194:K194" si="243">$R194/$R193*I193</f>
        <v>201026.87999999998</v>
      </c>
      <c r="J194" s="21">
        <f t="shared" si="243"/>
        <v>387303.36</v>
      </c>
      <c r="K194" s="21">
        <f t="shared" si="243"/>
        <v>0</v>
      </c>
      <c r="L194" s="21">
        <f t="shared" ref="L194" si="244">$R194/$R193*L193</f>
        <v>199130.40000000002</v>
      </c>
      <c r="M194" s="21">
        <f t="shared" ref="M194" si="245">$R194/$R193*M193</f>
        <v>112524.47999999998</v>
      </c>
      <c r="N194" s="21">
        <f t="shared" ref="N194" si="246">$R194/$R193*N193</f>
        <v>122217.59999999999</v>
      </c>
      <c r="O194" s="21">
        <f t="shared" ref="O194:P194" si="247">$R194/$R193*O193</f>
        <v>88080.959999999992</v>
      </c>
      <c r="P194" s="21">
        <f t="shared" si="247"/>
        <v>168576</v>
      </c>
      <c r="Q194" s="21">
        <f t="shared" ref="Q194" si="248">$R194/$R193*Q193</f>
        <v>182694.24</v>
      </c>
      <c r="R194" s="107">
        <f>R193-R195</f>
        <v>1617486.7199999997</v>
      </c>
      <c r="S194" s="49">
        <f>R194/R193*100</f>
        <v>100</v>
      </c>
      <c r="T194" s="37">
        <v>536345.97</v>
      </c>
      <c r="U194" s="37">
        <v>58481.14</v>
      </c>
      <c r="V194" s="38"/>
    </row>
    <row r="195" spans="1:22" ht="18.75" customHeight="1" x14ac:dyDescent="0.25">
      <c r="A195" s="121" t="s">
        <v>18</v>
      </c>
      <c r="B195" s="122"/>
      <c r="C195" s="122"/>
      <c r="D195" s="122"/>
      <c r="E195" s="122"/>
      <c r="F195" s="122"/>
      <c r="G195" s="21">
        <f>$R195/$R193*G193</f>
        <v>0</v>
      </c>
      <c r="H195" s="21">
        <f>$R195/$R193*H193</f>
        <v>0</v>
      </c>
      <c r="I195" s="21">
        <f t="shared" ref="I195:N195" si="249">$R195/$R193*I193</f>
        <v>0</v>
      </c>
      <c r="J195" s="21">
        <f t="shared" ref="J195:K195" si="250">$R195/$R193*J193</f>
        <v>0</v>
      </c>
      <c r="K195" s="21">
        <f t="shared" si="250"/>
        <v>0</v>
      </c>
      <c r="L195" s="21">
        <f t="shared" si="249"/>
        <v>0</v>
      </c>
      <c r="M195" s="21">
        <f t="shared" si="249"/>
        <v>0</v>
      </c>
      <c r="N195" s="21">
        <f t="shared" si="249"/>
        <v>0</v>
      </c>
      <c r="O195" s="21">
        <f>$R195/$R193*O193</f>
        <v>0</v>
      </c>
      <c r="P195" s="21">
        <f>$R195/$R193*P193</f>
        <v>0</v>
      </c>
      <c r="Q195" s="21">
        <f t="shared" ref="Q195" si="251">$R195/$R193*Q193</f>
        <v>0</v>
      </c>
      <c r="R195" s="108"/>
      <c r="S195" s="49"/>
      <c r="T195" s="37">
        <f>T193-T194</f>
        <v>577156.40999999992</v>
      </c>
      <c r="U195" s="37">
        <f>U193-U194</f>
        <v>62669.06</v>
      </c>
      <c r="V195" s="38">
        <f>T195+U195</f>
        <v>639825.47</v>
      </c>
    </row>
    <row r="196" spans="1:22" x14ac:dyDescent="0.25">
      <c r="A196" s="132" t="s">
        <v>17</v>
      </c>
      <c r="B196" s="133"/>
      <c r="C196" s="133"/>
      <c r="D196" s="133"/>
      <c r="E196" s="133"/>
      <c r="F196" s="133"/>
      <c r="G196" s="9"/>
      <c r="H196" s="9"/>
      <c r="I196" s="9"/>
      <c r="J196" s="9"/>
      <c r="K196" s="9"/>
      <c r="L196" s="10">
        <f>L197+L198</f>
        <v>0</v>
      </c>
      <c r="M196" s="9"/>
      <c r="N196" s="9"/>
      <c r="O196" s="9"/>
      <c r="P196" s="9"/>
      <c r="Q196" s="9"/>
      <c r="R196" s="62"/>
      <c r="S196" s="49"/>
      <c r="T196" s="37"/>
      <c r="U196" s="37"/>
      <c r="V196" s="38"/>
    </row>
    <row r="197" spans="1:22" ht="49.5" customHeight="1" x14ac:dyDescent="0.25">
      <c r="A197" s="118"/>
      <c r="B197" s="119"/>
      <c r="C197" s="119"/>
      <c r="D197" s="119"/>
      <c r="E197" s="119"/>
      <c r="F197" s="120"/>
      <c r="G197" s="23"/>
      <c r="H197" s="23"/>
      <c r="I197" s="23"/>
      <c r="J197" s="23"/>
      <c r="K197" s="23"/>
      <c r="L197" s="34"/>
      <c r="M197" s="23"/>
      <c r="N197" s="23"/>
      <c r="O197" s="23"/>
      <c r="P197" s="23"/>
      <c r="Q197" s="23"/>
      <c r="R197" s="64"/>
      <c r="S197" s="54"/>
      <c r="T197" s="42"/>
      <c r="U197" s="42"/>
      <c r="V197" s="47"/>
    </row>
    <row r="198" spans="1:22" ht="21" customHeight="1" x14ac:dyDescent="0.25">
      <c r="A198" s="118"/>
      <c r="B198" s="119"/>
      <c r="C198" s="119"/>
      <c r="D198" s="119"/>
      <c r="E198" s="119"/>
      <c r="F198" s="120"/>
      <c r="G198" s="23"/>
      <c r="H198" s="23"/>
      <c r="I198" s="23"/>
      <c r="J198" s="23"/>
      <c r="K198" s="23"/>
      <c r="L198" s="34"/>
      <c r="M198" s="23"/>
      <c r="N198" s="23"/>
      <c r="O198" s="23"/>
      <c r="P198" s="23"/>
      <c r="Q198" s="23"/>
      <c r="R198" s="64"/>
      <c r="S198" s="54"/>
      <c r="T198" s="42"/>
      <c r="U198" s="42"/>
      <c r="V198" s="47"/>
    </row>
    <row r="199" spans="1:22" ht="15.75" thickBot="1" x14ac:dyDescent="0.3">
      <c r="A199" s="134" t="s">
        <v>20</v>
      </c>
      <c r="B199" s="135"/>
      <c r="C199" s="135"/>
      <c r="D199" s="135"/>
      <c r="E199" s="135"/>
      <c r="F199" s="135"/>
      <c r="G199" s="23"/>
      <c r="H199" s="23"/>
      <c r="I199" s="23"/>
      <c r="J199" s="23"/>
      <c r="K199" s="23"/>
      <c r="L199" s="28">
        <f>L194-L196</f>
        <v>199130.40000000002</v>
      </c>
      <c r="M199" s="23"/>
      <c r="N199" s="23"/>
      <c r="O199" s="23"/>
      <c r="P199" s="23"/>
      <c r="Q199" s="23"/>
      <c r="R199" s="64"/>
      <c r="S199" s="54"/>
      <c r="T199" s="42"/>
      <c r="U199" s="42"/>
      <c r="V199" s="47"/>
    </row>
    <row r="200" spans="1:22" s="5" customFormat="1" ht="36.75" customHeight="1" x14ac:dyDescent="0.25">
      <c r="A200" s="140" t="s">
        <v>36</v>
      </c>
      <c r="B200" s="141"/>
      <c r="C200" s="141"/>
      <c r="D200" s="141"/>
      <c r="E200" s="141"/>
      <c r="F200" s="141"/>
      <c r="G200" s="141"/>
      <c r="H200" s="141"/>
      <c r="I200" s="141"/>
      <c r="J200" s="141"/>
      <c r="K200" s="141"/>
      <c r="L200" s="141"/>
      <c r="M200" s="141"/>
      <c r="N200" s="141"/>
      <c r="O200" s="141"/>
      <c r="P200" s="141"/>
      <c r="Q200" s="141"/>
      <c r="R200" s="142"/>
      <c r="S200" s="56"/>
      <c r="T200" s="43"/>
      <c r="U200" s="43"/>
      <c r="V200" s="43"/>
    </row>
    <row r="201" spans="1:22" ht="21.75" hidden="1" customHeight="1" thickBot="1" x14ac:dyDescent="0.3">
      <c r="A201" s="138" t="s">
        <v>26</v>
      </c>
      <c r="B201" s="139"/>
      <c r="C201" s="139"/>
      <c r="D201" s="139"/>
      <c r="E201" s="139"/>
      <c r="F201" s="139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60"/>
      <c r="S201" s="52"/>
      <c r="T201" s="39"/>
      <c r="U201" s="39"/>
      <c r="V201" s="45"/>
    </row>
    <row r="202" spans="1:22" ht="21.75" customHeight="1" thickBot="1" x14ac:dyDescent="0.3">
      <c r="A202" s="121" t="s">
        <v>77</v>
      </c>
      <c r="B202" s="122"/>
      <c r="C202" s="122"/>
      <c r="D202" s="122"/>
      <c r="E202" s="122"/>
      <c r="F202" s="122"/>
      <c r="G202" s="83">
        <v>2.9</v>
      </c>
      <c r="H202" s="83">
        <v>0.3</v>
      </c>
      <c r="I202" s="83">
        <v>4.5</v>
      </c>
      <c r="J202" s="83"/>
      <c r="K202" s="83"/>
      <c r="L202" s="83">
        <v>3.7</v>
      </c>
      <c r="M202" s="83">
        <v>2.67</v>
      </c>
      <c r="N202" s="83">
        <v>2.5</v>
      </c>
      <c r="O202" s="83">
        <v>2.09</v>
      </c>
      <c r="P202" s="83">
        <v>3.25</v>
      </c>
      <c r="Q202" s="83">
        <v>3.55</v>
      </c>
      <c r="R202" s="85">
        <f>SUM(G202:Q202)</f>
        <v>25.46</v>
      </c>
      <c r="S202" s="52"/>
      <c r="T202" s="39"/>
      <c r="U202" s="39"/>
      <c r="V202" s="45"/>
    </row>
    <row r="203" spans="1:22" ht="21.75" customHeight="1" thickBot="1" x14ac:dyDescent="0.3">
      <c r="A203" s="180" t="s">
        <v>73</v>
      </c>
      <c r="B203" s="181"/>
      <c r="C203" s="181"/>
      <c r="D203" s="181"/>
      <c r="E203" s="181"/>
      <c r="F203" s="181"/>
      <c r="G203" s="18">
        <v>2.9</v>
      </c>
      <c r="H203" s="18">
        <v>0.3</v>
      </c>
      <c r="I203" s="18">
        <v>4.5</v>
      </c>
      <c r="J203" s="18"/>
      <c r="K203" s="18"/>
      <c r="L203" s="18">
        <v>3.7</v>
      </c>
      <c r="M203" s="18">
        <v>2.67</v>
      </c>
      <c r="N203" s="18">
        <v>2.5</v>
      </c>
      <c r="O203" s="18">
        <v>2.09</v>
      </c>
      <c r="P203" s="18">
        <v>3.25</v>
      </c>
      <c r="Q203" s="18">
        <v>5.12</v>
      </c>
      <c r="R203" s="95">
        <f>SUM(G203:Q203)</f>
        <v>27.03</v>
      </c>
      <c r="S203" s="92"/>
      <c r="T203" s="93"/>
      <c r="U203" s="93"/>
      <c r="V203" s="94"/>
    </row>
    <row r="204" spans="1:22" ht="21" customHeight="1" x14ac:dyDescent="0.25">
      <c r="A204" s="91" t="s">
        <v>27</v>
      </c>
      <c r="B204" s="87">
        <v>20</v>
      </c>
      <c r="C204" s="12">
        <v>5</v>
      </c>
      <c r="D204" s="13">
        <v>2642.3</v>
      </c>
      <c r="E204" s="13"/>
      <c r="F204" s="13">
        <f>D204+E204</f>
        <v>2642.3</v>
      </c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65"/>
      <c r="S204" s="55"/>
      <c r="T204" s="41"/>
      <c r="U204" s="41"/>
      <c r="V204" s="46"/>
    </row>
    <row r="205" spans="1:22" s="3" customFormat="1" ht="21" hidden="1" customHeight="1" x14ac:dyDescent="0.25">
      <c r="A205" s="123" t="s">
        <v>30</v>
      </c>
      <c r="B205" s="124"/>
      <c r="C205" s="124"/>
      <c r="D205" s="124"/>
      <c r="E205" s="124"/>
      <c r="F205" s="124"/>
      <c r="G205" s="11">
        <f>$F$204*G$201</f>
        <v>0</v>
      </c>
      <c r="H205" s="11">
        <f t="shared" ref="H205:R205" si="252">$F$204*H$201</f>
        <v>0</v>
      </c>
      <c r="I205" s="11">
        <f t="shared" si="252"/>
        <v>0</v>
      </c>
      <c r="J205" s="11">
        <f t="shared" si="252"/>
        <v>0</v>
      </c>
      <c r="K205" s="11">
        <f t="shared" si="252"/>
        <v>0</v>
      </c>
      <c r="L205" s="11">
        <f t="shared" si="252"/>
        <v>0</v>
      </c>
      <c r="M205" s="11">
        <f t="shared" si="252"/>
        <v>0</v>
      </c>
      <c r="N205" s="11">
        <f t="shared" si="252"/>
        <v>0</v>
      </c>
      <c r="O205" s="11">
        <f t="shared" si="252"/>
        <v>0</v>
      </c>
      <c r="P205" s="11">
        <f t="shared" si="252"/>
        <v>0</v>
      </c>
      <c r="Q205" s="11">
        <f t="shared" si="252"/>
        <v>0</v>
      </c>
      <c r="R205" s="61">
        <f t="shared" si="252"/>
        <v>0</v>
      </c>
      <c r="S205" s="50"/>
      <c r="T205" s="37"/>
      <c r="U205" s="37"/>
      <c r="V205" s="38"/>
    </row>
    <row r="206" spans="1:22" s="3" customFormat="1" ht="21" customHeight="1" x14ac:dyDescent="0.25">
      <c r="A206" s="123" t="s">
        <v>49</v>
      </c>
      <c r="B206" s="124"/>
      <c r="C206" s="124"/>
      <c r="D206" s="124"/>
      <c r="E206" s="124"/>
      <c r="F206" s="124"/>
      <c r="G206" s="11">
        <f>$F$204*G$202</f>
        <v>7662.67</v>
      </c>
      <c r="H206" s="11">
        <f t="shared" ref="H206:R206" si="253">$F$204*H$202</f>
        <v>792.69</v>
      </c>
      <c r="I206" s="11">
        <f t="shared" si="253"/>
        <v>11890.35</v>
      </c>
      <c r="J206" s="11">
        <f t="shared" si="253"/>
        <v>0</v>
      </c>
      <c r="K206" s="11">
        <f t="shared" si="253"/>
        <v>0</v>
      </c>
      <c r="L206" s="11">
        <f t="shared" si="253"/>
        <v>9776.510000000002</v>
      </c>
      <c r="M206" s="11">
        <f t="shared" si="253"/>
        <v>7054.9410000000007</v>
      </c>
      <c r="N206" s="11">
        <f t="shared" si="253"/>
        <v>6605.75</v>
      </c>
      <c r="O206" s="11">
        <f t="shared" si="253"/>
        <v>5522.4070000000002</v>
      </c>
      <c r="P206" s="11">
        <f t="shared" si="253"/>
        <v>8587.4750000000004</v>
      </c>
      <c r="Q206" s="11">
        <f t="shared" si="253"/>
        <v>9380.1650000000009</v>
      </c>
      <c r="R206" s="11">
        <f t="shared" si="253"/>
        <v>67272.958000000013</v>
      </c>
      <c r="S206" s="50"/>
      <c r="T206" s="37"/>
      <c r="U206" s="37"/>
      <c r="V206" s="38"/>
    </row>
    <row r="207" spans="1:22" s="3" customFormat="1" ht="21" customHeight="1" x14ac:dyDescent="0.25">
      <c r="A207" s="123" t="s">
        <v>76</v>
      </c>
      <c r="B207" s="124"/>
      <c r="C207" s="124"/>
      <c r="D207" s="124"/>
      <c r="E207" s="124"/>
      <c r="F207" s="124"/>
      <c r="G207" s="11">
        <f>$F$204*G$203</f>
        <v>7662.67</v>
      </c>
      <c r="H207" s="11">
        <f t="shared" ref="H207:R207" si="254">$F$204*H$203</f>
        <v>792.69</v>
      </c>
      <c r="I207" s="11">
        <f t="shared" si="254"/>
        <v>11890.35</v>
      </c>
      <c r="J207" s="11">
        <f t="shared" si="254"/>
        <v>0</v>
      </c>
      <c r="K207" s="11">
        <f t="shared" si="254"/>
        <v>0</v>
      </c>
      <c r="L207" s="11">
        <f t="shared" si="254"/>
        <v>9776.510000000002</v>
      </c>
      <c r="M207" s="11">
        <f t="shared" si="254"/>
        <v>7054.9410000000007</v>
      </c>
      <c r="N207" s="11">
        <f t="shared" si="254"/>
        <v>6605.75</v>
      </c>
      <c r="O207" s="11">
        <f t="shared" si="254"/>
        <v>5522.4070000000002</v>
      </c>
      <c r="P207" s="11">
        <f t="shared" si="254"/>
        <v>8587.4750000000004</v>
      </c>
      <c r="Q207" s="11">
        <f t="shared" si="254"/>
        <v>13528.576000000001</v>
      </c>
      <c r="R207" s="11">
        <f t="shared" si="254"/>
        <v>71421.369000000006</v>
      </c>
      <c r="S207" s="50"/>
      <c r="T207" s="37"/>
      <c r="U207" s="37"/>
      <c r="V207" s="38"/>
    </row>
    <row r="208" spans="1:22" s="8" customFormat="1" ht="21" customHeight="1" x14ac:dyDescent="0.25">
      <c r="A208" s="125" t="s">
        <v>19</v>
      </c>
      <c r="B208" s="126"/>
      <c r="C208" s="126"/>
      <c r="D208" s="126"/>
      <c r="E208" s="126"/>
      <c r="F208" s="126"/>
      <c r="G208" s="10">
        <f>G206*6+G207*6</f>
        <v>91952.040000000008</v>
      </c>
      <c r="H208" s="10">
        <f t="shared" ref="H208" si="255">H206*6+H207*6</f>
        <v>9512.2800000000007</v>
      </c>
      <c r="I208" s="10">
        <f t="shared" ref="I208" si="256">I206*6+I207*6</f>
        <v>142684.20000000001</v>
      </c>
      <c r="J208" s="10">
        <f t="shared" ref="J208" si="257">J206*6+J207*6</f>
        <v>0</v>
      </c>
      <c r="K208" s="10">
        <f t="shared" ref="K208" si="258">K206*6+K207*6</f>
        <v>0</v>
      </c>
      <c r="L208" s="10">
        <f t="shared" ref="L208" si="259">L206*6+L207*6</f>
        <v>117318.12000000002</v>
      </c>
      <c r="M208" s="10">
        <f t="shared" ref="M208" si="260">M206*6+M207*6</f>
        <v>84659.292000000016</v>
      </c>
      <c r="N208" s="10">
        <f t="shared" ref="N208" si="261">N206*6+N207*6</f>
        <v>79269</v>
      </c>
      <c r="O208" s="10">
        <f t="shared" ref="O208" si="262">O206*6+O207*6</f>
        <v>66268.884000000005</v>
      </c>
      <c r="P208" s="10">
        <f t="shared" ref="P208" si="263">P206*6+P207*6</f>
        <v>103049.70000000001</v>
      </c>
      <c r="Q208" s="10">
        <f t="shared" ref="Q208" si="264">Q206*6+Q207*6</f>
        <v>137452.446</v>
      </c>
      <c r="R208" s="10">
        <f t="shared" ref="R208" si="265">R206*6+R207*6</f>
        <v>832165.96200000006</v>
      </c>
      <c r="S208" s="51"/>
      <c r="T208" s="38"/>
      <c r="U208" s="38"/>
      <c r="V208" s="38"/>
    </row>
    <row r="209" spans="1:22" ht="15" customHeight="1" x14ac:dyDescent="0.25">
      <c r="A209" s="127" t="s">
        <v>74</v>
      </c>
      <c r="B209" s="128"/>
      <c r="C209" s="128"/>
      <c r="D209" s="128"/>
      <c r="E209" s="128"/>
      <c r="F209" s="128"/>
      <c r="G209" s="21">
        <f>G208</f>
        <v>91952.040000000008</v>
      </c>
      <c r="H209" s="21">
        <f t="shared" ref="H209:R209" si="266">H208</f>
        <v>9512.2800000000007</v>
      </c>
      <c r="I209" s="21">
        <f t="shared" si="266"/>
        <v>142684.20000000001</v>
      </c>
      <c r="J209" s="21">
        <f t="shared" si="266"/>
        <v>0</v>
      </c>
      <c r="K209" s="21">
        <f t="shared" si="266"/>
        <v>0</v>
      </c>
      <c r="L209" s="21">
        <f t="shared" si="266"/>
        <v>117318.12000000002</v>
      </c>
      <c r="M209" s="21">
        <f t="shared" si="266"/>
        <v>84659.292000000016</v>
      </c>
      <c r="N209" s="21">
        <f t="shared" si="266"/>
        <v>79269</v>
      </c>
      <c r="O209" s="21">
        <f t="shared" si="266"/>
        <v>66268.884000000005</v>
      </c>
      <c r="P209" s="21">
        <f t="shared" si="266"/>
        <v>103049.70000000001</v>
      </c>
      <c r="Q209" s="21">
        <f t="shared" si="266"/>
        <v>137452.446</v>
      </c>
      <c r="R209" s="106">
        <f t="shared" si="266"/>
        <v>832165.96200000006</v>
      </c>
      <c r="S209" s="49"/>
      <c r="T209" s="37">
        <f>141427.14+329918.46</f>
        <v>471345.60000000003</v>
      </c>
      <c r="U209" s="37">
        <f>21186.6+56281.92</f>
        <v>77468.51999999999</v>
      </c>
      <c r="V209" s="38"/>
    </row>
    <row r="210" spans="1:22" ht="15.75" customHeight="1" x14ac:dyDescent="0.25">
      <c r="A210" s="127" t="s">
        <v>75</v>
      </c>
      <c r="B210" s="128"/>
      <c r="C210" s="128"/>
      <c r="D210" s="128"/>
      <c r="E210" s="128"/>
      <c r="F210" s="128"/>
      <c r="G210" s="21">
        <f>$R210/$R209*G209</f>
        <v>91952.040000000008</v>
      </c>
      <c r="H210" s="21">
        <f t="shared" ref="H210:Q210" si="267">$R210/$R209*H209</f>
        <v>9512.2800000000007</v>
      </c>
      <c r="I210" s="21">
        <f t="shared" si="267"/>
        <v>142684.20000000001</v>
      </c>
      <c r="J210" s="21">
        <f t="shared" si="267"/>
        <v>0</v>
      </c>
      <c r="K210" s="21">
        <f t="shared" si="267"/>
        <v>0</v>
      </c>
      <c r="L210" s="21">
        <f t="shared" si="267"/>
        <v>117318.12000000002</v>
      </c>
      <c r="M210" s="21">
        <f t="shared" si="267"/>
        <v>84659.292000000016</v>
      </c>
      <c r="N210" s="21">
        <f t="shared" si="267"/>
        <v>79269</v>
      </c>
      <c r="O210" s="21">
        <f t="shared" si="267"/>
        <v>66268.884000000005</v>
      </c>
      <c r="P210" s="21">
        <f t="shared" si="267"/>
        <v>103049.70000000001</v>
      </c>
      <c r="Q210" s="21">
        <f t="shared" si="267"/>
        <v>137452.446</v>
      </c>
      <c r="R210" s="107">
        <f>R209-R211</f>
        <v>832165.96200000006</v>
      </c>
      <c r="S210" s="49">
        <f>R210/R209*100</f>
        <v>100</v>
      </c>
      <c r="T210" s="37">
        <v>317497.69</v>
      </c>
      <c r="U210" s="37">
        <v>54163.02</v>
      </c>
      <c r="V210" s="38"/>
    </row>
    <row r="211" spans="1:22" ht="18.75" customHeight="1" x14ac:dyDescent="0.25">
      <c r="A211" s="121" t="s">
        <v>18</v>
      </c>
      <c r="B211" s="122"/>
      <c r="C211" s="122"/>
      <c r="D211" s="122"/>
      <c r="E211" s="122"/>
      <c r="F211" s="122"/>
      <c r="G211" s="21">
        <f>$R211/$R209*G209</f>
        <v>0</v>
      </c>
      <c r="H211" s="21">
        <f t="shared" ref="H211:Q211" si="268">$R211/$R209*H209</f>
        <v>0</v>
      </c>
      <c r="I211" s="21">
        <f t="shared" si="268"/>
        <v>0</v>
      </c>
      <c r="J211" s="21">
        <f t="shared" si="268"/>
        <v>0</v>
      </c>
      <c r="K211" s="21">
        <f t="shared" ref="K211" si="269">$R211/$R209*K209</f>
        <v>0</v>
      </c>
      <c r="L211" s="21">
        <f t="shared" si="268"/>
        <v>0</v>
      </c>
      <c r="M211" s="21">
        <f t="shared" si="268"/>
        <v>0</v>
      </c>
      <c r="N211" s="21">
        <f t="shared" si="268"/>
        <v>0</v>
      </c>
      <c r="O211" s="21">
        <f t="shared" si="268"/>
        <v>0</v>
      </c>
      <c r="P211" s="21">
        <f t="shared" si="268"/>
        <v>0</v>
      </c>
      <c r="Q211" s="21">
        <f t="shared" si="268"/>
        <v>0</v>
      </c>
      <c r="R211" s="108"/>
      <c r="S211" s="49"/>
      <c r="T211" s="37">
        <f>T209-T210</f>
        <v>153847.91000000003</v>
      </c>
      <c r="U211" s="37">
        <f>U209-U210</f>
        <v>23305.499999999993</v>
      </c>
      <c r="V211" s="38">
        <f>T211+U211</f>
        <v>177153.41000000003</v>
      </c>
    </row>
    <row r="212" spans="1:22" x14ac:dyDescent="0.25">
      <c r="A212" s="132" t="s">
        <v>17</v>
      </c>
      <c r="B212" s="133"/>
      <c r="C212" s="133"/>
      <c r="D212" s="133"/>
      <c r="E212" s="133"/>
      <c r="F212" s="133"/>
      <c r="G212" s="9"/>
      <c r="H212" s="9"/>
      <c r="I212" s="9"/>
      <c r="J212" s="9"/>
      <c r="K212" s="9"/>
      <c r="L212" s="10">
        <f>L213+L214+L215+L216+L217+L218</f>
        <v>30618.32</v>
      </c>
      <c r="M212" s="9"/>
      <c r="N212" s="9"/>
      <c r="O212" s="9"/>
      <c r="P212" s="9"/>
      <c r="Q212" s="9"/>
      <c r="R212" s="62"/>
      <c r="S212" s="49"/>
      <c r="T212" s="37"/>
      <c r="U212" s="37"/>
      <c r="V212" s="38"/>
    </row>
    <row r="213" spans="1:22" ht="15.75" customHeight="1" x14ac:dyDescent="0.25">
      <c r="A213" s="118" t="s">
        <v>53</v>
      </c>
      <c r="B213" s="119"/>
      <c r="C213" s="119"/>
      <c r="D213" s="119"/>
      <c r="E213" s="119"/>
      <c r="F213" s="120"/>
      <c r="G213" s="23"/>
      <c r="H213" s="23"/>
      <c r="I213" s="23"/>
      <c r="J213" s="23"/>
      <c r="K213" s="23"/>
      <c r="L213" s="111">
        <v>5517</v>
      </c>
      <c r="M213" s="23"/>
      <c r="N213" s="23"/>
      <c r="O213" s="23"/>
      <c r="P213" s="23"/>
      <c r="Q213" s="23"/>
      <c r="R213" s="64"/>
      <c r="S213" s="54"/>
      <c r="T213" s="42"/>
      <c r="U213" s="42"/>
      <c r="V213" s="47"/>
    </row>
    <row r="214" spans="1:22" ht="13.5" customHeight="1" x14ac:dyDescent="0.25">
      <c r="A214" s="118" t="s">
        <v>79</v>
      </c>
      <c r="B214" s="119"/>
      <c r="C214" s="119"/>
      <c r="D214" s="119"/>
      <c r="E214" s="119"/>
      <c r="F214" s="120"/>
      <c r="G214" s="23"/>
      <c r="H214" s="23"/>
      <c r="I214" s="23"/>
      <c r="J214" s="23"/>
      <c r="K214" s="23"/>
      <c r="L214" s="111">
        <v>11698.04</v>
      </c>
      <c r="M214" s="23"/>
      <c r="N214" s="23"/>
      <c r="O214" s="23"/>
      <c r="P214" s="23"/>
      <c r="Q214" s="23"/>
      <c r="R214" s="64"/>
      <c r="S214" s="54"/>
      <c r="T214" s="42"/>
      <c r="U214" s="42"/>
      <c r="V214" s="47"/>
    </row>
    <row r="215" spans="1:22" ht="14.25" customHeight="1" x14ac:dyDescent="0.25">
      <c r="A215" s="118" t="s">
        <v>84</v>
      </c>
      <c r="B215" s="119"/>
      <c r="C215" s="119"/>
      <c r="D215" s="119"/>
      <c r="E215" s="119"/>
      <c r="F215" s="120"/>
      <c r="G215" s="23"/>
      <c r="H215" s="23"/>
      <c r="I215" s="23"/>
      <c r="J215" s="23"/>
      <c r="K215" s="23"/>
      <c r="L215" s="111">
        <v>13403.28</v>
      </c>
      <c r="M215" s="23"/>
      <c r="N215" s="23"/>
      <c r="O215" s="23"/>
      <c r="P215" s="23"/>
      <c r="Q215" s="23"/>
      <c r="R215" s="64"/>
      <c r="S215" s="54"/>
      <c r="T215" s="42"/>
      <c r="U215" s="42"/>
      <c r="V215" s="47"/>
    </row>
    <row r="216" spans="1:22" ht="21" customHeight="1" x14ac:dyDescent="0.25">
      <c r="A216" s="118"/>
      <c r="B216" s="119"/>
      <c r="C216" s="119"/>
      <c r="D216" s="119"/>
      <c r="E216" s="119"/>
      <c r="F216" s="120"/>
      <c r="G216" s="23"/>
      <c r="H216" s="23"/>
      <c r="I216" s="23"/>
      <c r="J216" s="23"/>
      <c r="K216" s="23"/>
      <c r="L216" s="34"/>
      <c r="M216" s="23"/>
      <c r="N216" s="23"/>
      <c r="O216" s="23"/>
      <c r="P216" s="23"/>
      <c r="Q216" s="23"/>
      <c r="R216" s="64"/>
      <c r="S216" s="54"/>
      <c r="T216" s="42"/>
      <c r="U216" s="42"/>
      <c r="V216" s="47"/>
    </row>
    <row r="217" spans="1:22" ht="21" customHeight="1" x14ac:dyDescent="0.25">
      <c r="A217" s="118"/>
      <c r="B217" s="119"/>
      <c r="C217" s="119"/>
      <c r="D217" s="119"/>
      <c r="E217" s="119"/>
      <c r="F217" s="120"/>
      <c r="G217" s="23"/>
      <c r="H217" s="23"/>
      <c r="I217" s="23"/>
      <c r="J217" s="23"/>
      <c r="K217" s="23"/>
      <c r="L217" s="34"/>
      <c r="M217" s="23"/>
      <c r="N217" s="23"/>
      <c r="O217" s="23"/>
      <c r="P217" s="23"/>
      <c r="Q217" s="23"/>
      <c r="R217" s="64"/>
      <c r="S217" s="54"/>
      <c r="T217" s="42"/>
      <c r="U217" s="42"/>
      <c r="V217" s="47"/>
    </row>
    <row r="218" spans="1:22" ht="21" customHeight="1" x14ac:dyDescent="0.25">
      <c r="A218" s="118"/>
      <c r="B218" s="119"/>
      <c r="C218" s="119"/>
      <c r="D218" s="119"/>
      <c r="E218" s="119"/>
      <c r="F218" s="120"/>
      <c r="G218" s="23"/>
      <c r="H218" s="23"/>
      <c r="I218" s="23"/>
      <c r="J218" s="23"/>
      <c r="K218" s="23"/>
      <c r="L218" s="34"/>
      <c r="M218" s="23"/>
      <c r="N218" s="23"/>
      <c r="O218" s="23"/>
      <c r="P218" s="23"/>
      <c r="Q218" s="23"/>
      <c r="R218" s="64"/>
      <c r="S218" s="54"/>
      <c r="T218" s="42"/>
      <c r="U218" s="42"/>
      <c r="V218" s="47"/>
    </row>
    <row r="219" spans="1:22" ht="15.75" thickBot="1" x14ac:dyDescent="0.3">
      <c r="A219" s="134" t="s">
        <v>20</v>
      </c>
      <c r="B219" s="135"/>
      <c r="C219" s="135"/>
      <c r="D219" s="135"/>
      <c r="E219" s="135"/>
      <c r="F219" s="135"/>
      <c r="G219" s="23"/>
      <c r="H219" s="23"/>
      <c r="I219" s="23"/>
      <c r="J219" s="23"/>
      <c r="K219" s="23"/>
      <c r="L219" s="28">
        <f>L210-L212</f>
        <v>86699.800000000017</v>
      </c>
      <c r="M219" s="23"/>
      <c r="N219" s="23"/>
      <c r="O219" s="23"/>
      <c r="P219" s="23"/>
      <c r="Q219" s="23"/>
      <c r="R219" s="64"/>
      <c r="S219" s="54"/>
      <c r="T219" s="42"/>
      <c r="U219" s="42"/>
      <c r="V219" s="47"/>
    </row>
    <row r="220" spans="1:22" s="5" customFormat="1" ht="36.75" customHeight="1" x14ac:dyDescent="0.25">
      <c r="A220" s="140" t="s">
        <v>37</v>
      </c>
      <c r="B220" s="141"/>
      <c r="C220" s="141"/>
      <c r="D220" s="141"/>
      <c r="E220" s="141"/>
      <c r="F220" s="141"/>
      <c r="G220" s="141"/>
      <c r="H220" s="141"/>
      <c r="I220" s="141"/>
      <c r="J220" s="141"/>
      <c r="K220" s="141"/>
      <c r="L220" s="141"/>
      <c r="M220" s="141"/>
      <c r="N220" s="141"/>
      <c r="O220" s="141"/>
      <c r="P220" s="141"/>
      <c r="Q220" s="141"/>
      <c r="R220" s="142"/>
      <c r="S220" s="56"/>
      <c r="T220" s="43"/>
      <c r="U220" s="43"/>
      <c r="V220" s="43"/>
    </row>
    <row r="221" spans="1:22" ht="21.75" hidden="1" customHeight="1" thickBot="1" x14ac:dyDescent="0.3">
      <c r="A221" s="138" t="s">
        <v>26</v>
      </c>
      <c r="B221" s="139"/>
      <c r="C221" s="139"/>
      <c r="D221" s="139"/>
      <c r="E221" s="139"/>
      <c r="F221" s="139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60"/>
      <c r="S221" s="52"/>
      <c r="T221" s="39"/>
      <c r="U221" s="39"/>
      <c r="V221" s="45"/>
    </row>
    <row r="222" spans="1:22" ht="21.75" customHeight="1" thickBot="1" x14ac:dyDescent="0.3">
      <c r="A222" s="121" t="s">
        <v>77</v>
      </c>
      <c r="B222" s="122"/>
      <c r="C222" s="122"/>
      <c r="D222" s="122"/>
      <c r="E222" s="122"/>
      <c r="F222" s="122"/>
      <c r="G222" s="83">
        <v>2.75</v>
      </c>
      <c r="H222" s="83">
        <v>0.3</v>
      </c>
      <c r="I222" s="83">
        <v>4.5</v>
      </c>
      <c r="J222" s="83"/>
      <c r="K222" s="83"/>
      <c r="L222" s="83">
        <v>3.7</v>
      </c>
      <c r="M222" s="83">
        <v>2.67</v>
      </c>
      <c r="N222" s="83">
        <v>2.5</v>
      </c>
      <c r="O222" s="83">
        <v>2.09</v>
      </c>
      <c r="P222" s="83"/>
      <c r="Q222" s="83">
        <v>3.55</v>
      </c>
      <c r="R222" s="85">
        <f>SUM(G222:Q222)</f>
        <v>22.060000000000002</v>
      </c>
      <c r="S222" s="52"/>
      <c r="T222" s="39"/>
      <c r="U222" s="39"/>
      <c r="V222" s="45"/>
    </row>
    <row r="223" spans="1:22" ht="21.75" customHeight="1" thickBot="1" x14ac:dyDescent="0.3">
      <c r="A223" s="180" t="s">
        <v>73</v>
      </c>
      <c r="B223" s="181"/>
      <c r="C223" s="181"/>
      <c r="D223" s="181"/>
      <c r="E223" s="181"/>
      <c r="F223" s="181"/>
      <c r="G223" s="18">
        <v>2.75</v>
      </c>
      <c r="H223" s="18">
        <v>0.3</v>
      </c>
      <c r="I223" s="18">
        <v>4.5</v>
      </c>
      <c r="J223" s="18"/>
      <c r="K223" s="18"/>
      <c r="L223" s="96">
        <v>3.7</v>
      </c>
      <c r="M223" s="18">
        <v>2.67</v>
      </c>
      <c r="N223" s="18">
        <v>2.5</v>
      </c>
      <c r="O223" s="18">
        <v>2.09</v>
      </c>
      <c r="P223" s="18"/>
      <c r="Q223" s="18">
        <v>5.12</v>
      </c>
      <c r="R223" s="95">
        <f>SUM(G223:Q223)</f>
        <v>23.630000000000003</v>
      </c>
      <c r="S223" s="92"/>
      <c r="T223" s="93"/>
      <c r="U223" s="93"/>
      <c r="V223" s="94"/>
    </row>
    <row r="224" spans="1:22" ht="30" customHeight="1" x14ac:dyDescent="0.25">
      <c r="A224" s="91" t="s">
        <v>27</v>
      </c>
      <c r="B224" s="87" t="s">
        <v>38</v>
      </c>
      <c r="C224" s="12">
        <v>5</v>
      </c>
      <c r="D224" s="13">
        <v>5210.5</v>
      </c>
      <c r="E224" s="13">
        <v>93.3</v>
      </c>
      <c r="F224" s="13">
        <f>D224+E224</f>
        <v>5303.8</v>
      </c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65"/>
      <c r="S224" s="55"/>
      <c r="T224" s="41"/>
      <c r="U224" s="41"/>
      <c r="V224" s="46"/>
    </row>
    <row r="225" spans="1:22" s="3" customFormat="1" ht="21" hidden="1" customHeight="1" x14ac:dyDescent="0.25">
      <c r="A225" s="123" t="s">
        <v>30</v>
      </c>
      <c r="B225" s="124"/>
      <c r="C225" s="124"/>
      <c r="D225" s="124"/>
      <c r="E225" s="124"/>
      <c r="F225" s="124"/>
      <c r="G225" s="11">
        <f>$F$224*G$221</f>
        <v>0</v>
      </c>
      <c r="H225" s="11">
        <f t="shared" ref="H225:R225" si="270">$F$224*H$221</f>
        <v>0</v>
      </c>
      <c r="I225" s="11">
        <f t="shared" si="270"/>
        <v>0</v>
      </c>
      <c r="J225" s="11">
        <f t="shared" si="270"/>
        <v>0</v>
      </c>
      <c r="K225" s="11">
        <f t="shared" si="270"/>
        <v>0</v>
      </c>
      <c r="L225" s="11">
        <f t="shared" si="270"/>
        <v>0</v>
      </c>
      <c r="M225" s="11">
        <f t="shared" si="270"/>
        <v>0</v>
      </c>
      <c r="N225" s="11">
        <f t="shared" si="270"/>
        <v>0</v>
      </c>
      <c r="O225" s="11">
        <f t="shared" si="270"/>
        <v>0</v>
      </c>
      <c r="P225" s="11">
        <f t="shared" si="270"/>
        <v>0</v>
      </c>
      <c r="Q225" s="11">
        <f t="shared" si="270"/>
        <v>0</v>
      </c>
      <c r="R225" s="61">
        <f t="shared" si="270"/>
        <v>0</v>
      </c>
      <c r="S225" s="50"/>
      <c r="T225" s="37"/>
      <c r="U225" s="37"/>
      <c r="V225" s="38"/>
    </row>
    <row r="226" spans="1:22" s="3" customFormat="1" ht="21" customHeight="1" x14ac:dyDescent="0.25">
      <c r="A226" s="123" t="s">
        <v>49</v>
      </c>
      <c r="B226" s="124"/>
      <c r="C226" s="124"/>
      <c r="D226" s="124"/>
      <c r="E226" s="124"/>
      <c r="F226" s="124"/>
      <c r="G226" s="11">
        <f>$F$224*G$222</f>
        <v>14585.45</v>
      </c>
      <c r="H226" s="11">
        <f t="shared" ref="H226:R226" si="271">$F$224*H$222</f>
        <v>1591.14</v>
      </c>
      <c r="I226" s="11">
        <f t="shared" si="271"/>
        <v>23867.100000000002</v>
      </c>
      <c r="J226" s="11">
        <f t="shared" si="271"/>
        <v>0</v>
      </c>
      <c r="K226" s="11">
        <f t="shared" si="271"/>
        <v>0</v>
      </c>
      <c r="L226" s="11">
        <f t="shared" si="271"/>
        <v>19624.060000000001</v>
      </c>
      <c r="M226" s="11">
        <f t="shared" si="271"/>
        <v>14161.146000000001</v>
      </c>
      <c r="N226" s="11">
        <f t="shared" si="271"/>
        <v>13259.5</v>
      </c>
      <c r="O226" s="11">
        <f t="shared" si="271"/>
        <v>11084.941999999999</v>
      </c>
      <c r="P226" s="11">
        <f t="shared" si="271"/>
        <v>0</v>
      </c>
      <c r="Q226" s="11">
        <f t="shared" si="271"/>
        <v>18828.489999999998</v>
      </c>
      <c r="R226" s="11">
        <f t="shared" si="271"/>
        <v>117001.82800000002</v>
      </c>
      <c r="S226" s="50"/>
      <c r="T226" s="37"/>
      <c r="U226" s="37"/>
      <c r="V226" s="38"/>
    </row>
    <row r="227" spans="1:22" s="3" customFormat="1" ht="21" customHeight="1" x14ac:dyDescent="0.25">
      <c r="A227" s="123" t="s">
        <v>76</v>
      </c>
      <c r="B227" s="124"/>
      <c r="C227" s="124"/>
      <c r="D227" s="124"/>
      <c r="E227" s="124"/>
      <c r="F227" s="124"/>
      <c r="G227" s="11">
        <f>$F$224*G$223</f>
        <v>14585.45</v>
      </c>
      <c r="H227" s="11">
        <f t="shared" ref="H227:R227" si="272">$F$224*H$223</f>
        <v>1591.14</v>
      </c>
      <c r="I227" s="11">
        <f t="shared" si="272"/>
        <v>23867.100000000002</v>
      </c>
      <c r="J227" s="11">
        <f t="shared" si="272"/>
        <v>0</v>
      </c>
      <c r="K227" s="11">
        <f t="shared" si="272"/>
        <v>0</v>
      </c>
      <c r="L227" s="11">
        <f t="shared" si="272"/>
        <v>19624.060000000001</v>
      </c>
      <c r="M227" s="11">
        <f t="shared" si="272"/>
        <v>14161.146000000001</v>
      </c>
      <c r="N227" s="11">
        <f t="shared" si="272"/>
        <v>13259.5</v>
      </c>
      <c r="O227" s="11">
        <f t="shared" si="272"/>
        <v>11084.941999999999</v>
      </c>
      <c r="P227" s="11">
        <f t="shared" si="272"/>
        <v>0</v>
      </c>
      <c r="Q227" s="11">
        <f t="shared" si="272"/>
        <v>27155.456000000002</v>
      </c>
      <c r="R227" s="11">
        <f t="shared" si="272"/>
        <v>125328.79400000002</v>
      </c>
      <c r="S227" s="50"/>
      <c r="T227" s="37"/>
      <c r="U227" s="37"/>
      <c r="V227" s="38"/>
    </row>
    <row r="228" spans="1:22" s="8" customFormat="1" ht="21" customHeight="1" x14ac:dyDescent="0.25">
      <c r="A228" s="125" t="s">
        <v>19</v>
      </c>
      <c r="B228" s="126"/>
      <c r="C228" s="126"/>
      <c r="D228" s="126"/>
      <c r="E228" s="126"/>
      <c r="F228" s="126"/>
      <c r="G228" s="10">
        <f>G226*6+G227*6</f>
        <v>175025.40000000002</v>
      </c>
      <c r="H228" s="10">
        <f t="shared" ref="H228" si="273">H226*6+H227*6</f>
        <v>19093.68</v>
      </c>
      <c r="I228" s="10">
        <f t="shared" ref="I228" si="274">I226*6+I227*6</f>
        <v>286405.2</v>
      </c>
      <c r="J228" s="10">
        <f t="shared" ref="J228" si="275">J226*6+J227*6</f>
        <v>0</v>
      </c>
      <c r="K228" s="10">
        <f t="shared" ref="K228" si="276">K226*6+K227*6</f>
        <v>0</v>
      </c>
      <c r="L228" s="10">
        <f t="shared" ref="L228" si="277">L226*6+L227*6</f>
        <v>235488.72000000003</v>
      </c>
      <c r="M228" s="10">
        <f t="shared" ref="M228" si="278">M226*6+M227*6</f>
        <v>169933.75200000001</v>
      </c>
      <c r="N228" s="10">
        <f t="shared" ref="N228" si="279">N226*6+N227*6</f>
        <v>159114</v>
      </c>
      <c r="O228" s="10">
        <f t="shared" ref="O228" si="280">O226*6+O227*6</f>
        <v>133019.304</v>
      </c>
      <c r="P228" s="10">
        <f t="shared" ref="P228" si="281">P226*6+P227*6</f>
        <v>0</v>
      </c>
      <c r="Q228" s="10">
        <f t="shared" ref="Q228" si="282">Q226*6+Q227*6</f>
        <v>275903.67599999998</v>
      </c>
      <c r="R228" s="10">
        <f t="shared" ref="R228" si="283">R226*6+R227*6</f>
        <v>1453983.7320000003</v>
      </c>
      <c r="S228" s="51"/>
      <c r="T228" s="38"/>
      <c r="U228" s="38"/>
      <c r="V228" s="38"/>
    </row>
    <row r="229" spans="1:22" ht="15" customHeight="1" x14ac:dyDescent="0.25">
      <c r="A229" s="127" t="s">
        <v>74</v>
      </c>
      <c r="B229" s="128"/>
      <c r="C229" s="128"/>
      <c r="D229" s="128"/>
      <c r="E229" s="128"/>
      <c r="F229" s="128"/>
      <c r="G229" s="21">
        <f>G228</f>
        <v>175025.40000000002</v>
      </c>
      <c r="H229" s="21">
        <f t="shared" ref="H229:R229" si="284">H228</f>
        <v>19093.68</v>
      </c>
      <c r="I229" s="21">
        <f t="shared" si="284"/>
        <v>286405.2</v>
      </c>
      <c r="J229" s="21">
        <f t="shared" si="284"/>
        <v>0</v>
      </c>
      <c r="K229" s="21">
        <f t="shared" si="284"/>
        <v>0</v>
      </c>
      <c r="L229" s="21">
        <f t="shared" si="284"/>
        <v>235488.72000000003</v>
      </c>
      <c r="M229" s="21">
        <f t="shared" si="284"/>
        <v>169933.75200000001</v>
      </c>
      <c r="N229" s="21">
        <f t="shared" si="284"/>
        <v>159114</v>
      </c>
      <c r="O229" s="21">
        <f t="shared" si="284"/>
        <v>133019.304</v>
      </c>
      <c r="P229" s="21">
        <f t="shared" si="284"/>
        <v>0</v>
      </c>
      <c r="Q229" s="21">
        <f t="shared" si="284"/>
        <v>275903.67599999998</v>
      </c>
      <c r="R229" s="106">
        <f t="shared" si="284"/>
        <v>1453983.7320000003</v>
      </c>
      <c r="S229" s="49"/>
      <c r="T229" s="37">
        <f>276202.95+548978.34</f>
        <v>825181.29</v>
      </c>
      <c r="U229" s="37">
        <f>55099.61+110985.36</f>
        <v>166084.97</v>
      </c>
      <c r="V229" s="38"/>
    </row>
    <row r="230" spans="1:22" ht="15.75" customHeight="1" x14ac:dyDescent="0.25">
      <c r="A230" s="127" t="s">
        <v>75</v>
      </c>
      <c r="B230" s="128"/>
      <c r="C230" s="128"/>
      <c r="D230" s="128"/>
      <c r="E230" s="128"/>
      <c r="F230" s="128"/>
      <c r="G230" s="21">
        <f>$R230/$R229*G229</f>
        <v>175025.40000000002</v>
      </c>
      <c r="H230" s="21">
        <f t="shared" ref="H230" si="285">$R230/$R229*H229</f>
        <v>19093.68</v>
      </c>
      <c r="I230" s="21">
        <f t="shared" ref="I230" si="286">$R230/$R229*I229</f>
        <v>286405.2</v>
      </c>
      <c r="J230" s="21"/>
      <c r="K230" s="21"/>
      <c r="L230" s="21">
        <f t="shared" ref="L230" si="287">$R230/$R229*L229</f>
        <v>235488.72000000003</v>
      </c>
      <c r="M230" s="21">
        <f t="shared" ref="M230" si="288">$R230/$R229*M229</f>
        <v>169933.75200000001</v>
      </c>
      <c r="N230" s="21">
        <f t="shared" ref="N230" si="289">$R230/$R229*N229</f>
        <v>159114</v>
      </c>
      <c r="O230" s="21">
        <f t="shared" ref="O230" si="290">$R230/$R229*O229</f>
        <v>133019.304</v>
      </c>
      <c r="P230" s="21"/>
      <c r="Q230" s="21">
        <f t="shared" ref="Q230" si="291">$R230/$R229*Q229</f>
        <v>275903.67599999998</v>
      </c>
      <c r="R230" s="107">
        <f>R229-R231</f>
        <v>1453983.7320000003</v>
      </c>
      <c r="S230" s="49">
        <f>R230/R229*100</f>
        <v>100</v>
      </c>
      <c r="T230" s="37">
        <v>526247.98</v>
      </c>
      <c r="U230" s="37">
        <v>106391.53</v>
      </c>
      <c r="V230" s="38"/>
    </row>
    <row r="231" spans="1:22" ht="18.75" customHeight="1" x14ac:dyDescent="0.25">
      <c r="A231" s="121" t="s">
        <v>18</v>
      </c>
      <c r="B231" s="122"/>
      <c r="C231" s="122"/>
      <c r="D231" s="122"/>
      <c r="E231" s="122"/>
      <c r="F231" s="122"/>
      <c r="G231" s="21">
        <f>$R231/$R229*G229</f>
        <v>0</v>
      </c>
      <c r="H231" s="21">
        <f>$R231/$R229*H229</f>
        <v>0</v>
      </c>
      <c r="I231" s="21">
        <f t="shared" ref="I231:N231" si="292">$R231/$R229*I229</f>
        <v>0</v>
      </c>
      <c r="J231" s="21"/>
      <c r="K231" s="21"/>
      <c r="L231" s="21">
        <f t="shared" si="292"/>
        <v>0</v>
      </c>
      <c r="M231" s="21">
        <f t="shared" si="292"/>
        <v>0</v>
      </c>
      <c r="N231" s="21">
        <f t="shared" si="292"/>
        <v>0</v>
      </c>
      <c r="O231" s="21">
        <f>$R231/$R229*O229</f>
        <v>0</v>
      </c>
      <c r="P231" s="21"/>
      <c r="Q231" s="21">
        <f t="shared" ref="Q231" si="293">$R231/$R229*Q229</f>
        <v>0</v>
      </c>
      <c r="R231" s="108"/>
      <c r="S231" s="49"/>
      <c r="T231" s="37">
        <f>T229-T230</f>
        <v>298933.31000000006</v>
      </c>
      <c r="U231" s="37">
        <f>U229-U230</f>
        <v>59693.440000000002</v>
      </c>
      <c r="V231" s="38">
        <f>T231+U231</f>
        <v>358626.75000000006</v>
      </c>
    </row>
    <row r="232" spans="1:22" x14ac:dyDescent="0.25">
      <c r="A232" s="177" t="s">
        <v>17</v>
      </c>
      <c r="B232" s="178"/>
      <c r="C232" s="178"/>
      <c r="D232" s="178"/>
      <c r="E232" s="178"/>
      <c r="F232" s="179"/>
      <c r="G232" s="9"/>
      <c r="H232" s="9"/>
      <c r="I232" s="9"/>
      <c r="J232" s="9"/>
      <c r="K232" s="9"/>
      <c r="L232" s="10">
        <f>L233+L234+L235+L236+L237</f>
        <v>82199.44</v>
      </c>
      <c r="M232" s="9"/>
      <c r="N232" s="9"/>
      <c r="O232" s="9"/>
      <c r="P232" s="9"/>
      <c r="Q232" s="9"/>
      <c r="R232" s="62"/>
      <c r="S232" s="49"/>
      <c r="T232" s="37"/>
      <c r="U232" s="37"/>
      <c r="V232" s="38"/>
    </row>
    <row r="233" spans="1:22" ht="15.75" customHeight="1" x14ac:dyDescent="0.25">
      <c r="A233" s="118" t="s">
        <v>57</v>
      </c>
      <c r="B233" s="119"/>
      <c r="C233" s="119"/>
      <c r="D233" s="119"/>
      <c r="E233" s="119"/>
      <c r="F233" s="120"/>
      <c r="G233" s="9"/>
      <c r="H233" s="9"/>
      <c r="I233" s="9"/>
      <c r="J233" s="9"/>
      <c r="K233" s="9"/>
      <c r="L233" s="113">
        <v>48905</v>
      </c>
      <c r="M233" s="9"/>
      <c r="N233" s="9"/>
      <c r="O233" s="9"/>
      <c r="P233" s="9"/>
      <c r="Q233" s="9"/>
      <c r="R233" s="62"/>
      <c r="S233" s="49"/>
      <c r="T233" s="37"/>
      <c r="U233" s="37"/>
      <c r="V233" s="38"/>
    </row>
    <row r="234" spans="1:22" ht="18.75" customHeight="1" x14ac:dyDescent="0.25">
      <c r="A234" s="118" t="s">
        <v>79</v>
      </c>
      <c r="B234" s="119"/>
      <c r="C234" s="119"/>
      <c r="D234" s="119"/>
      <c r="E234" s="119"/>
      <c r="F234" s="120"/>
      <c r="G234" s="23"/>
      <c r="H234" s="23"/>
      <c r="I234" s="23"/>
      <c r="J234" s="23"/>
      <c r="K234" s="23"/>
      <c r="L234" s="111">
        <v>33294.44</v>
      </c>
      <c r="M234" s="23"/>
      <c r="N234" s="23"/>
      <c r="O234" s="23"/>
      <c r="P234" s="23"/>
      <c r="Q234" s="23"/>
      <c r="R234" s="64"/>
      <c r="S234" s="54"/>
      <c r="T234" s="42"/>
      <c r="U234" s="42"/>
      <c r="V234" s="47"/>
    </row>
    <row r="235" spans="1:22" ht="21" customHeight="1" x14ac:dyDescent="0.25">
      <c r="A235" s="118"/>
      <c r="B235" s="119"/>
      <c r="C235" s="119"/>
      <c r="D235" s="119"/>
      <c r="E235" s="119"/>
      <c r="F235" s="120"/>
      <c r="G235" s="23"/>
      <c r="H235" s="23"/>
      <c r="I235" s="23"/>
      <c r="J235" s="23"/>
      <c r="K235" s="23"/>
      <c r="L235" s="34"/>
      <c r="M235" s="23"/>
      <c r="N235" s="23"/>
      <c r="O235" s="23"/>
      <c r="P235" s="23"/>
      <c r="Q235" s="23"/>
      <c r="R235" s="64"/>
      <c r="S235" s="54"/>
      <c r="T235" s="42"/>
      <c r="U235" s="42"/>
      <c r="V235" s="47"/>
    </row>
    <row r="236" spans="1:22" ht="21" customHeight="1" x14ac:dyDescent="0.25">
      <c r="A236" s="118"/>
      <c r="B236" s="119"/>
      <c r="C236" s="119"/>
      <c r="D236" s="119"/>
      <c r="E236" s="119"/>
      <c r="F236" s="120"/>
      <c r="G236" s="23"/>
      <c r="H236" s="23"/>
      <c r="I236" s="23"/>
      <c r="J236" s="23"/>
      <c r="K236" s="23"/>
      <c r="L236" s="34"/>
      <c r="M236" s="23"/>
      <c r="N236" s="23"/>
      <c r="O236" s="23"/>
      <c r="P236" s="23"/>
      <c r="Q236" s="23"/>
      <c r="R236" s="64"/>
      <c r="S236" s="54"/>
      <c r="T236" s="42"/>
      <c r="U236" s="42"/>
      <c r="V236" s="47"/>
    </row>
    <row r="237" spans="1:22" ht="15" customHeight="1" x14ac:dyDescent="0.25">
      <c r="A237" s="118"/>
      <c r="B237" s="119"/>
      <c r="C237" s="119"/>
      <c r="D237" s="119"/>
      <c r="E237" s="119"/>
      <c r="F237" s="120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64"/>
      <c r="S237" s="54"/>
      <c r="T237" s="42"/>
      <c r="U237" s="42"/>
      <c r="V237" s="47"/>
    </row>
    <row r="238" spans="1:22" ht="15.75" thickBot="1" x14ac:dyDescent="0.3">
      <c r="A238" s="129" t="s">
        <v>20</v>
      </c>
      <c r="B238" s="130"/>
      <c r="C238" s="130"/>
      <c r="D238" s="130"/>
      <c r="E238" s="130"/>
      <c r="F238" s="131"/>
      <c r="G238" s="23"/>
      <c r="H238" s="23"/>
      <c r="I238" s="23"/>
      <c r="J238" s="23"/>
      <c r="K238" s="23"/>
      <c r="L238" s="28">
        <f>L230-L232</f>
        <v>153289.28000000003</v>
      </c>
      <c r="M238" s="23"/>
      <c r="N238" s="23"/>
      <c r="O238" s="23"/>
      <c r="P238" s="23"/>
      <c r="Q238" s="23"/>
      <c r="R238" s="64"/>
      <c r="S238" s="54"/>
      <c r="T238" s="42"/>
      <c r="U238" s="42"/>
      <c r="V238" s="47"/>
    </row>
    <row r="239" spans="1:22" ht="27.75" customHeight="1" x14ac:dyDescent="0.25">
      <c r="A239" s="90" t="s">
        <v>27</v>
      </c>
      <c r="B239" s="89">
        <v>5</v>
      </c>
      <c r="C239" s="7">
        <v>5</v>
      </c>
      <c r="D239" s="6">
        <v>2691.7</v>
      </c>
      <c r="E239" s="6"/>
      <c r="F239" s="6">
        <f t="shared" ref="F239:F255" si="294">D239+E239</f>
        <v>2691.7</v>
      </c>
      <c r="G239" s="73"/>
      <c r="H239" s="73"/>
      <c r="I239" s="73"/>
      <c r="J239" s="73"/>
      <c r="K239" s="73"/>
      <c r="L239" s="73"/>
      <c r="M239" s="73"/>
      <c r="N239" s="73"/>
      <c r="O239" s="73"/>
      <c r="P239" s="73"/>
      <c r="Q239" s="73"/>
      <c r="R239" s="27"/>
      <c r="S239" s="48"/>
      <c r="T239" s="36"/>
      <c r="U239" s="36"/>
      <c r="V239" s="40"/>
    </row>
    <row r="240" spans="1:22" s="3" customFormat="1" ht="21" hidden="1" customHeight="1" x14ac:dyDescent="0.25">
      <c r="A240" s="123" t="s">
        <v>30</v>
      </c>
      <c r="B240" s="124"/>
      <c r="C240" s="124"/>
      <c r="D240" s="124"/>
      <c r="E240" s="124"/>
      <c r="F240" s="124"/>
      <c r="G240" s="11">
        <f t="shared" ref="G240:R240" si="295">$F$239*G$221</f>
        <v>0</v>
      </c>
      <c r="H240" s="11">
        <f t="shared" si="295"/>
        <v>0</v>
      </c>
      <c r="I240" s="11">
        <f t="shared" si="295"/>
        <v>0</v>
      </c>
      <c r="J240" s="11">
        <f t="shared" si="295"/>
        <v>0</v>
      </c>
      <c r="K240" s="11">
        <f t="shared" si="295"/>
        <v>0</v>
      </c>
      <c r="L240" s="11">
        <f t="shared" si="295"/>
        <v>0</v>
      </c>
      <c r="M240" s="11">
        <f t="shared" si="295"/>
        <v>0</v>
      </c>
      <c r="N240" s="11">
        <f t="shared" si="295"/>
        <v>0</v>
      </c>
      <c r="O240" s="11">
        <f t="shared" si="295"/>
        <v>0</v>
      </c>
      <c r="P240" s="11">
        <f t="shared" si="295"/>
        <v>0</v>
      </c>
      <c r="Q240" s="11">
        <f t="shared" si="295"/>
        <v>0</v>
      </c>
      <c r="R240" s="61">
        <f t="shared" si="295"/>
        <v>0</v>
      </c>
      <c r="S240" s="50"/>
      <c r="T240" s="37"/>
      <c r="U240" s="37"/>
      <c r="V240" s="38"/>
    </row>
    <row r="241" spans="1:22" s="3" customFormat="1" ht="21" customHeight="1" x14ac:dyDescent="0.25">
      <c r="A241" s="123" t="s">
        <v>49</v>
      </c>
      <c r="B241" s="124"/>
      <c r="C241" s="124"/>
      <c r="D241" s="124"/>
      <c r="E241" s="124"/>
      <c r="F241" s="124"/>
      <c r="G241" s="11">
        <f t="shared" ref="G241:R241" si="296">$F$239*G$222</f>
        <v>7402.1749999999993</v>
      </c>
      <c r="H241" s="11">
        <f t="shared" si="296"/>
        <v>807.50999999999988</v>
      </c>
      <c r="I241" s="11">
        <f t="shared" si="296"/>
        <v>12112.65</v>
      </c>
      <c r="J241" s="11">
        <f t="shared" si="296"/>
        <v>0</v>
      </c>
      <c r="K241" s="11">
        <f t="shared" si="296"/>
        <v>0</v>
      </c>
      <c r="L241" s="11">
        <f t="shared" si="296"/>
        <v>9959.2899999999991</v>
      </c>
      <c r="M241" s="11">
        <f t="shared" si="296"/>
        <v>7186.838999999999</v>
      </c>
      <c r="N241" s="11">
        <f t="shared" si="296"/>
        <v>6729.25</v>
      </c>
      <c r="O241" s="11">
        <f t="shared" si="296"/>
        <v>5625.6529999999993</v>
      </c>
      <c r="P241" s="11">
        <f t="shared" si="296"/>
        <v>0</v>
      </c>
      <c r="Q241" s="11">
        <f t="shared" si="296"/>
        <v>9555.534999999998</v>
      </c>
      <c r="R241" s="61">
        <f t="shared" si="296"/>
        <v>59378.902000000002</v>
      </c>
      <c r="S241" s="50"/>
      <c r="T241" s="37"/>
      <c r="U241" s="37"/>
      <c r="V241" s="38"/>
    </row>
    <row r="242" spans="1:22" s="3" customFormat="1" ht="21" customHeight="1" x14ac:dyDescent="0.25">
      <c r="A242" s="123" t="s">
        <v>76</v>
      </c>
      <c r="B242" s="124"/>
      <c r="C242" s="124"/>
      <c r="D242" s="124"/>
      <c r="E242" s="124"/>
      <c r="F242" s="124"/>
      <c r="G242" s="11">
        <f>$F$239*G$223</f>
        <v>7402.1749999999993</v>
      </c>
      <c r="H242" s="11">
        <f t="shared" ref="H242:R242" si="297">$F$239*H$223</f>
        <v>807.50999999999988</v>
      </c>
      <c r="I242" s="11">
        <f t="shared" si="297"/>
        <v>12112.65</v>
      </c>
      <c r="J242" s="11">
        <f t="shared" si="297"/>
        <v>0</v>
      </c>
      <c r="K242" s="11">
        <f t="shared" si="297"/>
        <v>0</v>
      </c>
      <c r="L242" s="11">
        <f t="shared" si="297"/>
        <v>9959.2899999999991</v>
      </c>
      <c r="M242" s="11">
        <f t="shared" si="297"/>
        <v>7186.838999999999</v>
      </c>
      <c r="N242" s="11">
        <f t="shared" si="297"/>
        <v>6729.25</v>
      </c>
      <c r="O242" s="11">
        <f t="shared" si="297"/>
        <v>5625.6529999999993</v>
      </c>
      <c r="P242" s="11">
        <f t="shared" si="297"/>
        <v>0</v>
      </c>
      <c r="Q242" s="11">
        <f t="shared" si="297"/>
        <v>13781.503999999999</v>
      </c>
      <c r="R242" s="11">
        <f t="shared" si="297"/>
        <v>63604.870999999999</v>
      </c>
      <c r="S242" s="50"/>
      <c r="T242" s="37"/>
      <c r="U242" s="37"/>
      <c r="V242" s="38"/>
    </row>
    <row r="243" spans="1:22" s="8" customFormat="1" ht="21" customHeight="1" x14ac:dyDescent="0.25">
      <c r="A243" s="125" t="s">
        <v>19</v>
      </c>
      <c r="B243" s="126"/>
      <c r="C243" s="126"/>
      <c r="D243" s="126"/>
      <c r="E243" s="126"/>
      <c r="F243" s="126"/>
      <c r="G243" s="10">
        <f>G241*6+G242*6</f>
        <v>88826.099999999991</v>
      </c>
      <c r="H243" s="10">
        <f t="shared" ref="H243" si="298">H241*6+H242*6</f>
        <v>9690.119999999999</v>
      </c>
      <c r="I243" s="10">
        <f t="shared" ref="I243" si="299">I241*6+I242*6</f>
        <v>145351.79999999999</v>
      </c>
      <c r="J243" s="10">
        <f t="shared" ref="J243" si="300">J241*6+J242*6</f>
        <v>0</v>
      </c>
      <c r="K243" s="10">
        <f t="shared" ref="K243" si="301">K241*6+K242*6</f>
        <v>0</v>
      </c>
      <c r="L243" s="10">
        <f t="shared" ref="L243" si="302">L241*6+L242*6</f>
        <v>119511.47999999998</v>
      </c>
      <c r="M243" s="10">
        <f t="shared" ref="M243" si="303">M241*6+M242*6</f>
        <v>86242.067999999985</v>
      </c>
      <c r="N243" s="10">
        <f t="shared" ref="N243" si="304">N241*6+N242*6</f>
        <v>80751</v>
      </c>
      <c r="O243" s="10">
        <f t="shared" ref="O243" si="305">O241*6+O242*6</f>
        <v>67507.835999999996</v>
      </c>
      <c r="P243" s="10">
        <f t="shared" ref="P243" si="306">P241*6+P242*6</f>
        <v>0</v>
      </c>
      <c r="Q243" s="10">
        <f t="shared" ref="Q243" si="307">Q241*6+Q242*6</f>
        <v>140022.234</v>
      </c>
      <c r="R243" s="10">
        <f t="shared" ref="R243" si="308">R241*6+R242*6</f>
        <v>737902.63800000004</v>
      </c>
      <c r="S243" s="51"/>
      <c r="T243" s="38"/>
      <c r="U243" s="38"/>
      <c r="V243" s="38"/>
    </row>
    <row r="244" spans="1:22" ht="15" customHeight="1" x14ac:dyDescent="0.25">
      <c r="A244" s="127" t="s">
        <v>74</v>
      </c>
      <c r="B244" s="128"/>
      <c r="C244" s="128"/>
      <c r="D244" s="128"/>
      <c r="E244" s="128"/>
      <c r="F244" s="128"/>
      <c r="G244" s="21">
        <f>G243</f>
        <v>88826.099999999991</v>
      </c>
      <c r="H244" s="21">
        <f t="shared" ref="H244:R244" si="309">H243</f>
        <v>9690.119999999999</v>
      </c>
      <c r="I244" s="21">
        <f t="shared" si="309"/>
        <v>145351.79999999999</v>
      </c>
      <c r="J244" s="21">
        <f t="shared" si="309"/>
        <v>0</v>
      </c>
      <c r="K244" s="21">
        <f t="shared" si="309"/>
        <v>0</v>
      </c>
      <c r="L244" s="21">
        <f t="shared" si="309"/>
        <v>119511.47999999998</v>
      </c>
      <c r="M244" s="21">
        <f t="shared" si="309"/>
        <v>86242.067999999985</v>
      </c>
      <c r="N244" s="21">
        <f t="shared" si="309"/>
        <v>80751</v>
      </c>
      <c r="O244" s="21">
        <f t="shared" si="309"/>
        <v>67507.835999999996</v>
      </c>
      <c r="P244" s="21">
        <f t="shared" si="309"/>
        <v>0</v>
      </c>
      <c r="Q244" s="21">
        <f t="shared" si="309"/>
        <v>140022.234</v>
      </c>
      <c r="R244" s="106">
        <f t="shared" si="309"/>
        <v>737902.63800000004</v>
      </c>
      <c r="S244" s="49"/>
      <c r="T244" s="37">
        <f>345411.12+283597.14</f>
        <v>629008.26</v>
      </c>
      <c r="U244" s="37">
        <f>54897.33+57334.14</f>
        <v>112231.47</v>
      </c>
      <c r="V244" s="38"/>
    </row>
    <row r="245" spans="1:22" ht="15.75" customHeight="1" x14ac:dyDescent="0.25">
      <c r="A245" s="127" t="s">
        <v>75</v>
      </c>
      <c r="B245" s="128"/>
      <c r="C245" s="128"/>
      <c r="D245" s="128"/>
      <c r="E245" s="128"/>
      <c r="F245" s="128"/>
      <c r="G245" s="21">
        <f>$R245/$R244*G244</f>
        <v>88826.099999999991</v>
      </c>
      <c r="H245" s="21">
        <f t="shared" ref="H245" si="310">$R245/$R244*H244</f>
        <v>9690.119999999999</v>
      </c>
      <c r="I245" s="21">
        <f t="shared" ref="I245" si="311">$R245/$R244*I244</f>
        <v>145351.79999999999</v>
      </c>
      <c r="J245" s="21"/>
      <c r="K245" s="21"/>
      <c r="L245" s="21">
        <f t="shared" ref="L245" si="312">$R245/$R244*L244</f>
        <v>119511.47999999998</v>
      </c>
      <c r="M245" s="21">
        <f t="shared" ref="M245" si="313">$R245/$R244*M244</f>
        <v>86242.067999999985</v>
      </c>
      <c r="N245" s="21">
        <f t="shared" ref="N245" si="314">$R245/$R244*N244</f>
        <v>80751</v>
      </c>
      <c r="O245" s="21">
        <f t="shared" ref="O245" si="315">$R245/$R244*O244</f>
        <v>67507.835999999996</v>
      </c>
      <c r="P245" s="21"/>
      <c r="Q245" s="21">
        <f t="shared" ref="Q245" si="316">$R245/$R244*Q244</f>
        <v>140022.234</v>
      </c>
      <c r="R245" s="107">
        <f>R244-R246</f>
        <v>737902.63800000004</v>
      </c>
      <c r="S245" s="49">
        <f>R245/R244*100</f>
        <v>100</v>
      </c>
      <c r="T245" s="37">
        <v>273373.25</v>
      </c>
      <c r="U245" s="37">
        <v>54078.05</v>
      </c>
      <c r="V245" s="38"/>
    </row>
    <row r="246" spans="1:22" ht="18.75" customHeight="1" x14ac:dyDescent="0.25">
      <c r="A246" s="121" t="s">
        <v>18</v>
      </c>
      <c r="B246" s="122"/>
      <c r="C246" s="122"/>
      <c r="D246" s="122"/>
      <c r="E246" s="122"/>
      <c r="F246" s="122"/>
      <c r="G246" s="21">
        <f>$R246/$R244*G244</f>
        <v>0</v>
      </c>
      <c r="H246" s="21">
        <f>$R246/$R244*H244</f>
        <v>0</v>
      </c>
      <c r="I246" s="21">
        <f t="shared" ref="I246:N246" si="317">$R246/$R244*I244</f>
        <v>0</v>
      </c>
      <c r="J246" s="21"/>
      <c r="K246" s="21"/>
      <c r="L246" s="21">
        <f t="shared" si="317"/>
        <v>0</v>
      </c>
      <c r="M246" s="21">
        <f t="shared" si="317"/>
        <v>0</v>
      </c>
      <c r="N246" s="21">
        <f t="shared" si="317"/>
        <v>0</v>
      </c>
      <c r="O246" s="21">
        <f>$R246/$R244*O244</f>
        <v>0</v>
      </c>
      <c r="P246" s="21"/>
      <c r="Q246" s="21">
        <f t="shared" ref="Q246" si="318">$R246/$R244*Q244</f>
        <v>0</v>
      </c>
      <c r="R246" s="108"/>
      <c r="S246" s="49"/>
      <c r="T246" s="37">
        <f>T244-T245</f>
        <v>355635.01</v>
      </c>
      <c r="U246" s="37">
        <f>U244-U245</f>
        <v>58153.42</v>
      </c>
      <c r="V246" s="38">
        <f>T246+U246</f>
        <v>413788.43</v>
      </c>
    </row>
    <row r="247" spans="1:22" ht="15" customHeight="1" x14ac:dyDescent="0.25">
      <c r="A247" s="132" t="s">
        <v>17</v>
      </c>
      <c r="B247" s="133"/>
      <c r="C247" s="133"/>
      <c r="D247" s="133"/>
      <c r="E247" s="133"/>
      <c r="F247" s="133"/>
      <c r="G247" s="9"/>
      <c r="H247" s="9"/>
      <c r="I247" s="9"/>
      <c r="J247" s="9"/>
      <c r="K247" s="9"/>
      <c r="L247" s="10">
        <f>L248+L249+L250+L251+L252+L253</f>
        <v>37935.64</v>
      </c>
      <c r="M247" s="9"/>
      <c r="N247" s="9"/>
      <c r="O247" s="9"/>
      <c r="P247" s="9"/>
      <c r="Q247" s="9"/>
      <c r="R247" s="62"/>
      <c r="S247" s="49"/>
      <c r="T247" s="37"/>
      <c r="U247" s="37"/>
      <c r="V247" s="38"/>
    </row>
    <row r="248" spans="1:22" ht="13.5" customHeight="1" x14ac:dyDescent="0.25">
      <c r="A248" s="118" t="s">
        <v>54</v>
      </c>
      <c r="B248" s="119"/>
      <c r="C248" s="119"/>
      <c r="D248" s="119"/>
      <c r="E248" s="119"/>
      <c r="F248" s="120"/>
      <c r="G248" s="23"/>
      <c r="H248" s="23"/>
      <c r="I248" s="23"/>
      <c r="J248" s="23"/>
      <c r="K248" s="23"/>
      <c r="L248" s="112">
        <v>4856</v>
      </c>
      <c r="M248" s="23"/>
      <c r="N248" s="23"/>
      <c r="O248" s="23"/>
      <c r="P248" s="23"/>
      <c r="Q248" s="23"/>
      <c r="R248" s="64"/>
      <c r="S248" s="54"/>
      <c r="T248" s="42"/>
      <c r="U248" s="42"/>
      <c r="V248" s="47"/>
    </row>
    <row r="249" spans="1:22" ht="18.75" customHeight="1" x14ac:dyDescent="0.25">
      <c r="A249" s="118" t="s">
        <v>56</v>
      </c>
      <c r="B249" s="119"/>
      <c r="C249" s="119"/>
      <c r="D249" s="119"/>
      <c r="E249" s="119"/>
      <c r="F249" s="120"/>
      <c r="G249" s="23"/>
      <c r="H249" s="23"/>
      <c r="I249" s="23"/>
      <c r="J249" s="23"/>
      <c r="K249" s="23"/>
      <c r="L249" s="111">
        <v>8484.16</v>
      </c>
      <c r="M249" s="23"/>
      <c r="N249" s="23"/>
      <c r="O249" s="23"/>
      <c r="P249" s="23"/>
      <c r="Q249" s="23"/>
      <c r="R249" s="64"/>
      <c r="S249" s="54"/>
      <c r="T249" s="42"/>
      <c r="U249" s="42"/>
      <c r="V249" s="47"/>
    </row>
    <row r="250" spans="1:22" ht="21" customHeight="1" x14ac:dyDescent="0.25">
      <c r="A250" s="174" t="s">
        <v>60</v>
      </c>
      <c r="B250" s="175"/>
      <c r="C250" s="175"/>
      <c r="D250" s="175"/>
      <c r="E250" s="175"/>
      <c r="F250" s="176"/>
      <c r="G250" s="114"/>
      <c r="H250" s="114"/>
      <c r="I250" s="114"/>
      <c r="J250" s="114"/>
      <c r="K250" s="114"/>
      <c r="L250" s="114">
        <v>3450</v>
      </c>
      <c r="M250" s="23"/>
      <c r="N250" s="23"/>
      <c r="O250" s="23"/>
      <c r="P250" s="23"/>
      <c r="Q250" s="23"/>
      <c r="R250" s="64"/>
      <c r="S250" s="54"/>
      <c r="T250" s="42"/>
      <c r="U250" s="42"/>
      <c r="V250" s="47"/>
    </row>
    <row r="251" spans="1:22" ht="21" customHeight="1" x14ac:dyDescent="0.25">
      <c r="A251" s="118" t="s">
        <v>81</v>
      </c>
      <c r="B251" s="119"/>
      <c r="C251" s="119"/>
      <c r="D251" s="119"/>
      <c r="E251" s="119"/>
      <c r="F251" s="120"/>
      <c r="G251" s="23"/>
      <c r="H251" s="23"/>
      <c r="I251" s="23"/>
      <c r="J251" s="23"/>
      <c r="K251" s="23"/>
      <c r="L251" s="111">
        <v>21145.48</v>
      </c>
      <c r="M251" s="23"/>
      <c r="N251" s="23"/>
      <c r="O251" s="23"/>
      <c r="P251" s="23"/>
      <c r="Q251" s="23"/>
      <c r="R251" s="64"/>
      <c r="S251" s="54"/>
      <c r="T251" s="42"/>
      <c r="U251" s="42"/>
      <c r="V251" s="47"/>
    </row>
    <row r="252" spans="1:22" ht="21" customHeight="1" x14ac:dyDescent="0.25">
      <c r="A252" s="118"/>
      <c r="B252" s="119"/>
      <c r="C252" s="119"/>
      <c r="D252" s="119"/>
      <c r="E252" s="119"/>
      <c r="F252" s="120"/>
      <c r="G252" s="23"/>
      <c r="H252" s="23"/>
      <c r="I252" s="23"/>
      <c r="J252" s="23"/>
      <c r="K252" s="23"/>
      <c r="L252" s="34"/>
      <c r="M252" s="23"/>
      <c r="N252" s="23"/>
      <c r="O252" s="23"/>
      <c r="P252" s="23"/>
      <c r="Q252" s="23"/>
      <c r="R252" s="64"/>
      <c r="S252" s="54"/>
      <c r="T252" s="42"/>
      <c r="U252" s="42"/>
      <c r="V252" s="47"/>
    </row>
    <row r="253" spans="1:22" ht="21" customHeight="1" x14ac:dyDescent="0.25">
      <c r="A253" s="118"/>
      <c r="B253" s="119"/>
      <c r="C253" s="119"/>
      <c r="D253" s="119"/>
      <c r="E253" s="119"/>
      <c r="F253" s="120"/>
      <c r="G253" s="23"/>
      <c r="H253" s="23"/>
      <c r="I253" s="23"/>
      <c r="J253" s="23"/>
      <c r="K253" s="23"/>
      <c r="L253" s="34"/>
      <c r="M253" s="23"/>
      <c r="N253" s="23"/>
      <c r="O253" s="23"/>
      <c r="P253" s="23"/>
      <c r="Q253" s="23"/>
      <c r="R253" s="64"/>
      <c r="S253" s="54"/>
      <c r="T253" s="42"/>
      <c r="U253" s="42"/>
      <c r="V253" s="47"/>
    </row>
    <row r="254" spans="1:22" ht="15.75" customHeight="1" thickBot="1" x14ac:dyDescent="0.3">
      <c r="A254" s="136" t="s">
        <v>20</v>
      </c>
      <c r="B254" s="137"/>
      <c r="C254" s="137"/>
      <c r="D254" s="137"/>
      <c r="E254" s="137"/>
      <c r="F254" s="137"/>
      <c r="G254" s="14"/>
      <c r="H254" s="14"/>
      <c r="I254" s="14"/>
      <c r="J254" s="14"/>
      <c r="K254" s="14"/>
      <c r="L254" s="26">
        <f>L245-L247</f>
        <v>81575.839999999982</v>
      </c>
      <c r="M254" s="14"/>
      <c r="N254" s="14"/>
      <c r="O254" s="14"/>
      <c r="P254" s="14"/>
      <c r="Q254" s="14"/>
      <c r="R254" s="63"/>
      <c r="S254" s="52"/>
      <c r="T254" s="39"/>
      <c r="U254" s="39"/>
      <c r="V254" s="45"/>
    </row>
    <row r="255" spans="1:22" ht="33" customHeight="1" x14ac:dyDescent="0.25">
      <c r="A255" s="91" t="s">
        <v>27</v>
      </c>
      <c r="B255" s="87">
        <v>6</v>
      </c>
      <c r="C255" s="12">
        <v>5</v>
      </c>
      <c r="D255" s="13">
        <v>4558.2</v>
      </c>
      <c r="E255" s="13"/>
      <c r="F255" s="13">
        <f t="shared" si="294"/>
        <v>4558.2</v>
      </c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65"/>
      <c r="S255" s="55"/>
      <c r="T255" s="41"/>
      <c r="U255" s="41"/>
      <c r="V255" s="46"/>
    </row>
    <row r="256" spans="1:22" s="3" customFormat="1" ht="21" hidden="1" customHeight="1" x14ac:dyDescent="0.25">
      <c r="A256" s="123" t="s">
        <v>30</v>
      </c>
      <c r="B256" s="124"/>
      <c r="C256" s="124"/>
      <c r="D256" s="124"/>
      <c r="E256" s="124"/>
      <c r="F256" s="124"/>
      <c r="G256" s="11">
        <f t="shared" ref="G256:R256" si="319">$F$255*G$221</f>
        <v>0</v>
      </c>
      <c r="H256" s="11">
        <f t="shared" si="319"/>
        <v>0</v>
      </c>
      <c r="I256" s="11">
        <f t="shared" si="319"/>
        <v>0</v>
      </c>
      <c r="J256" s="11">
        <f t="shared" si="319"/>
        <v>0</v>
      </c>
      <c r="K256" s="11">
        <f t="shared" si="319"/>
        <v>0</v>
      </c>
      <c r="L256" s="11">
        <f t="shared" si="319"/>
        <v>0</v>
      </c>
      <c r="M256" s="11">
        <f t="shared" si="319"/>
        <v>0</v>
      </c>
      <c r="N256" s="11">
        <f t="shared" si="319"/>
        <v>0</v>
      </c>
      <c r="O256" s="11">
        <f t="shared" si="319"/>
        <v>0</v>
      </c>
      <c r="P256" s="11">
        <f t="shared" si="319"/>
        <v>0</v>
      </c>
      <c r="Q256" s="11">
        <f t="shared" si="319"/>
        <v>0</v>
      </c>
      <c r="R256" s="61">
        <f t="shared" si="319"/>
        <v>0</v>
      </c>
      <c r="S256" s="50"/>
      <c r="T256" s="37"/>
      <c r="U256" s="37"/>
      <c r="V256" s="38"/>
    </row>
    <row r="257" spans="1:22" s="3" customFormat="1" ht="21" customHeight="1" x14ac:dyDescent="0.25">
      <c r="A257" s="123" t="s">
        <v>49</v>
      </c>
      <c r="B257" s="124"/>
      <c r="C257" s="124"/>
      <c r="D257" s="124"/>
      <c r="E257" s="124"/>
      <c r="F257" s="124"/>
      <c r="G257" s="11">
        <f t="shared" ref="G257:R257" si="320">$F$255*G$222</f>
        <v>12535.05</v>
      </c>
      <c r="H257" s="11">
        <f t="shared" si="320"/>
        <v>1367.4599999999998</v>
      </c>
      <c r="I257" s="11">
        <f t="shared" si="320"/>
        <v>20511.899999999998</v>
      </c>
      <c r="J257" s="11">
        <f t="shared" si="320"/>
        <v>0</v>
      </c>
      <c r="K257" s="11">
        <f t="shared" si="320"/>
        <v>0</v>
      </c>
      <c r="L257" s="11">
        <f t="shared" si="320"/>
        <v>16865.34</v>
      </c>
      <c r="M257" s="11">
        <f t="shared" si="320"/>
        <v>12170.393999999998</v>
      </c>
      <c r="N257" s="11">
        <f t="shared" si="320"/>
        <v>11395.5</v>
      </c>
      <c r="O257" s="11">
        <f t="shared" si="320"/>
        <v>9526.637999999999</v>
      </c>
      <c r="P257" s="11">
        <f t="shared" si="320"/>
        <v>0</v>
      </c>
      <c r="Q257" s="11">
        <f t="shared" si="320"/>
        <v>16181.609999999999</v>
      </c>
      <c r="R257" s="11">
        <f t="shared" si="320"/>
        <v>100553.89200000001</v>
      </c>
      <c r="S257" s="50"/>
      <c r="T257" s="37"/>
      <c r="U257" s="37"/>
      <c r="V257" s="38"/>
    </row>
    <row r="258" spans="1:22" s="3" customFormat="1" ht="21" customHeight="1" x14ac:dyDescent="0.25">
      <c r="A258" s="123" t="s">
        <v>76</v>
      </c>
      <c r="B258" s="124"/>
      <c r="C258" s="124"/>
      <c r="D258" s="124"/>
      <c r="E258" s="124"/>
      <c r="F258" s="124"/>
      <c r="G258" s="11">
        <f>$F$255*G$223</f>
        <v>12535.05</v>
      </c>
      <c r="H258" s="11">
        <f t="shared" ref="H258:R258" si="321">$F$255*H$223</f>
        <v>1367.4599999999998</v>
      </c>
      <c r="I258" s="11">
        <f t="shared" si="321"/>
        <v>20511.899999999998</v>
      </c>
      <c r="J258" s="11">
        <f t="shared" si="321"/>
        <v>0</v>
      </c>
      <c r="K258" s="11">
        <f t="shared" si="321"/>
        <v>0</v>
      </c>
      <c r="L258" s="11">
        <f t="shared" si="321"/>
        <v>16865.34</v>
      </c>
      <c r="M258" s="11">
        <f t="shared" si="321"/>
        <v>12170.393999999998</v>
      </c>
      <c r="N258" s="11">
        <f t="shared" si="321"/>
        <v>11395.5</v>
      </c>
      <c r="O258" s="11">
        <f t="shared" si="321"/>
        <v>9526.637999999999</v>
      </c>
      <c r="P258" s="11">
        <f t="shared" si="321"/>
        <v>0</v>
      </c>
      <c r="Q258" s="11">
        <f t="shared" si="321"/>
        <v>23337.984</v>
      </c>
      <c r="R258" s="11">
        <f t="shared" si="321"/>
        <v>107710.266</v>
      </c>
      <c r="S258" s="50"/>
      <c r="T258" s="37"/>
      <c r="U258" s="37"/>
      <c r="V258" s="38"/>
    </row>
    <row r="259" spans="1:22" s="8" customFormat="1" ht="21" customHeight="1" x14ac:dyDescent="0.25">
      <c r="A259" s="125" t="s">
        <v>19</v>
      </c>
      <c r="B259" s="126"/>
      <c r="C259" s="126"/>
      <c r="D259" s="126"/>
      <c r="E259" s="126"/>
      <c r="F259" s="126"/>
      <c r="G259" s="10">
        <f>G257*6+G258*6</f>
        <v>150420.59999999998</v>
      </c>
      <c r="H259" s="10">
        <f t="shared" ref="H259" si="322">H257*6+H258*6</f>
        <v>16409.519999999997</v>
      </c>
      <c r="I259" s="10">
        <f t="shared" ref="I259" si="323">I257*6+I258*6</f>
        <v>246142.8</v>
      </c>
      <c r="J259" s="10">
        <f t="shared" ref="J259" si="324">J257*6+J258*6</f>
        <v>0</v>
      </c>
      <c r="K259" s="10">
        <f t="shared" ref="K259" si="325">K257*6+K258*6</f>
        <v>0</v>
      </c>
      <c r="L259" s="10">
        <f t="shared" ref="L259" si="326">L257*6+L258*6</f>
        <v>202384.08000000002</v>
      </c>
      <c r="M259" s="10">
        <f t="shared" ref="M259" si="327">M257*6+M258*6</f>
        <v>146044.72799999997</v>
      </c>
      <c r="N259" s="10">
        <f t="shared" ref="N259" si="328">N257*6+N258*6</f>
        <v>136746</v>
      </c>
      <c r="O259" s="10">
        <f t="shared" ref="O259" si="329">O257*6+O258*6</f>
        <v>114319.65599999999</v>
      </c>
      <c r="P259" s="10">
        <f t="shared" ref="P259" si="330">P257*6+P258*6</f>
        <v>0</v>
      </c>
      <c r="Q259" s="10">
        <f t="shared" ref="Q259" si="331">Q257*6+Q258*6</f>
        <v>237117.56400000001</v>
      </c>
      <c r="R259" s="10">
        <f t="shared" ref="R259" si="332">R257*6+R258*6</f>
        <v>1249584.9480000001</v>
      </c>
      <c r="S259" s="51"/>
      <c r="T259" s="38"/>
      <c r="U259" s="38"/>
      <c r="V259" s="38"/>
    </row>
    <row r="260" spans="1:22" ht="15" customHeight="1" x14ac:dyDescent="0.25">
      <c r="A260" s="127" t="s">
        <v>74</v>
      </c>
      <c r="B260" s="128"/>
      <c r="C260" s="128"/>
      <c r="D260" s="128"/>
      <c r="E260" s="128"/>
      <c r="F260" s="128"/>
      <c r="G260" s="21">
        <f>G259</f>
        <v>150420.59999999998</v>
      </c>
      <c r="H260" s="21">
        <f t="shared" ref="H260:R260" si="333">H259</f>
        <v>16409.519999999997</v>
      </c>
      <c r="I260" s="21">
        <f t="shared" si="333"/>
        <v>246142.8</v>
      </c>
      <c r="J260" s="21">
        <f t="shared" si="333"/>
        <v>0</v>
      </c>
      <c r="K260" s="21">
        <f t="shared" si="333"/>
        <v>0</v>
      </c>
      <c r="L260" s="21">
        <f t="shared" si="333"/>
        <v>202384.08000000002</v>
      </c>
      <c r="M260" s="21">
        <f t="shared" si="333"/>
        <v>146044.72799999997</v>
      </c>
      <c r="N260" s="21">
        <f t="shared" si="333"/>
        <v>136746</v>
      </c>
      <c r="O260" s="21">
        <f t="shared" si="333"/>
        <v>114319.65599999999</v>
      </c>
      <c r="P260" s="21">
        <f t="shared" si="333"/>
        <v>0</v>
      </c>
      <c r="Q260" s="21">
        <f t="shared" si="333"/>
        <v>237117.56400000001</v>
      </c>
      <c r="R260" s="106">
        <f t="shared" si="333"/>
        <v>1249584.9480000001</v>
      </c>
      <c r="S260" s="49"/>
      <c r="T260" s="37">
        <f>256369.82+480315.09</f>
        <v>736684.91</v>
      </c>
      <c r="U260" s="37">
        <f>49351.47+97104.06</f>
        <v>146455.53</v>
      </c>
      <c r="V260" s="38"/>
    </row>
    <row r="261" spans="1:22" ht="15.75" customHeight="1" x14ac:dyDescent="0.25">
      <c r="A261" s="127" t="s">
        <v>75</v>
      </c>
      <c r="B261" s="128"/>
      <c r="C261" s="128"/>
      <c r="D261" s="128"/>
      <c r="E261" s="128"/>
      <c r="F261" s="128"/>
      <c r="G261" s="21">
        <f>$R261/$R260*G260</f>
        <v>150420.59999999998</v>
      </c>
      <c r="H261" s="21">
        <f t="shared" ref="H261" si="334">$R261/$R260*H260</f>
        <v>16409.519999999997</v>
      </c>
      <c r="I261" s="21">
        <f t="shared" ref="I261" si="335">$R261/$R260*I260</f>
        <v>246142.8</v>
      </c>
      <c r="J261" s="21"/>
      <c r="K261" s="21"/>
      <c r="L261" s="21">
        <f t="shared" ref="L261" si="336">$R261/$R260*L260</f>
        <v>202384.08000000002</v>
      </c>
      <c r="M261" s="21">
        <f t="shared" ref="M261" si="337">$R261/$R260*M260</f>
        <v>146044.72799999997</v>
      </c>
      <c r="N261" s="21">
        <f t="shared" ref="N261" si="338">$R261/$R260*N260</f>
        <v>136746</v>
      </c>
      <c r="O261" s="21">
        <f t="shared" ref="O261" si="339">$R261/$R260*O260</f>
        <v>114319.65599999999</v>
      </c>
      <c r="P261" s="21"/>
      <c r="Q261" s="21">
        <f t="shared" ref="Q261" si="340">$R261/$R260*Q260</f>
        <v>237117.56400000001</v>
      </c>
      <c r="R261" s="107">
        <f>R260-R262</f>
        <v>1249584.9480000001</v>
      </c>
      <c r="S261" s="49">
        <f>R261/R260*100</f>
        <v>100</v>
      </c>
      <c r="T261" s="37">
        <v>466731.81</v>
      </c>
      <c r="U261" s="37">
        <v>94129.79</v>
      </c>
      <c r="V261" s="38"/>
    </row>
    <row r="262" spans="1:22" ht="18.75" customHeight="1" x14ac:dyDescent="0.25">
      <c r="A262" s="121" t="s">
        <v>18</v>
      </c>
      <c r="B262" s="122"/>
      <c r="C262" s="122"/>
      <c r="D262" s="122"/>
      <c r="E262" s="122"/>
      <c r="F262" s="122"/>
      <c r="G262" s="21">
        <f>$R262/$R260*G260</f>
        <v>0</v>
      </c>
      <c r="H262" s="21">
        <f>$R262/$R260*H260</f>
        <v>0</v>
      </c>
      <c r="I262" s="21">
        <f t="shared" ref="I262:N262" si="341">$R262/$R260*I260</f>
        <v>0</v>
      </c>
      <c r="J262" s="21"/>
      <c r="K262" s="21"/>
      <c r="L262" s="21">
        <f t="shared" si="341"/>
        <v>0</v>
      </c>
      <c r="M262" s="21">
        <f t="shared" si="341"/>
        <v>0</v>
      </c>
      <c r="N262" s="21">
        <f t="shared" si="341"/>
        <v>0</v>
      </c>
      <c r="O262" s="21">
        <f>$R262/$R260*O260</f>
        <v>0</v>
      </c>
      <c r="P262" s="21"/>
      <c r="Q262" s="21">
        <f t="shared" ref="Q262" si="342">$R262/$R260*Q260</f>
        <v>0</v>
      </c>
      <c r="R262" s="108"/>
      <c r="S262" s="49"/>
      <c r="T262" s="37">
        <f>T260-T261</f>
        <v>269953.10000000003</v>
      </c>
      <c r="U262" s="37">
        <f>U260-U261</f>
        <v>52325.740000000005</v>
      </c>
      <c r="V262" s="38">
        <f>T262+U262</f>
        <v>322278.84000000003</v>
      </c>
    </row>
    <row r="263" spans="1:22" ht="15" customHeight="1" x14ac:dyDescent="0.25">
      <c r="A263" s="132" t="s">
        <v>17</v>
      </c>
      <c r="B263" s="133"/>
      <c r="C263" s="133"/>
      <c r="D263" s="133"/>
      <c r="E263" s="133"/>
      <c r="F263" s="133"/>
      <c r="G263" s="9"/>
      <c r="H263" s="9"/>
      <c r="I263" s="9"/>
      <c r="J263" s="9"/>
      <c r="K263" s="9"/>
      <c r="L263" s="10">
        <f>L264+L265+L266+L267+L268+L269+L270+L271+L272+L273+L274+L275+L276</f>
        <v>0</v>
      </c>
      <c r="M263" s="9"/>
      <c r="N263" s="9"/>
      <c r="O263" s="9"/>
      <c r="P263" s="9"/>
      <c r="Q263" s="9"/>
      <c r="R263" s="62"/>
      <c r="S263" s="49"/>
      <c r="T263" s="37"/>
      <c r="U263" s="37"/>
      <c r="V263" s="38"/>
    </row>
    <row r="264" spans="1:22" ht="15" customHeight="1" x14ac:dyDescent="0.25">
      <c r="A264" s="118"/>
      <c r="B264" s="119"/>
      <c r="C264" s="119"/>
      <c r="D264" s="119"/>
      <c r="E264" s="119"/>
      <c r="F264" s="120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64"/>
      <c r="S264" s="54"/>
      <c r="T264" s="42"/>
      <c r="U264" s="42"/>
      <c r="V264" s="47"/>
    </row>
    <row r="265" spans="1:22" ht="33" customHeight="1" x14ac:dyDescent="0.25">
      <c r="A265" s="118"/>
      <c r="B265" s="119"/>
      <c r="C265" s="119"/>
      <c r="D265" s="119"/>
      <c r="E265" s="119"/>
      <c r="F265" s="120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64"/>
      <c r="S265" s="54"/>
      <c r="T265" s="42"/>
      <c r="U265" s="42"/>
      <c r="V265" s="47"/>
    </row>
    <row r="266" spans="1:22" ht="21" customHeight="1" x14ac:dyDescent="0.25">
      <c r="A266" s="118"/>
      <c r="B266" s="119"/>
      <c r="C266" s="119"/>
      <c r="D266" s="119"/>
      <c r="E266" s="119"/>
      <c r="F266" s="120"/>
      <c r="G266" s="23"/>
      <c r="H266" s="23"/>
      <c r="I266" s="23"/>
      <c r="J266" s="23"/>
      <c r="K266" s="23"/>
      <c r="L266" s="34"/>
      <c r="M266" s="23"/>
      <c r="N266" s="23"/>
      <c r="O266" s="23"/>
      <c r="P266" s="23"/>
      <c r="Q266" s="23"/>
      <c r="R266" s="64"/>
      <c r="S266" s="54"/>
      <c r="T266" s="42"/>
      <c r="U266" s="42"/>
      <c r="V266" s="47"/>
    </row>
    <row r="267" spans="1:22" ht="21" customHeight="1" x14ac:dyDescent="0.25">
      <c r="A267" s="118"/>
      <c r="B267" s="119"/>
      <c r="C267" s="119"/>
      <c r="D267" s="119"/>
      <c r="E267" s="119"/>
      <c r="F267" s="120"/>
      <c r="G267" s="23"/>
      <c r="H267" s="23"/>
      <c r="I267" s="23"/>
      <c r="J267" s="23"/>
      <c r="K267" s="23"/>
      <c r="L267" s="34"/>
      <c r="M267" s="23"/>
      <c r="N267" s="23"/>
      <c r="O267" s="23"/>
      <c r="P267" s="23"/>
      <c r="Q267" s="23"/>
      <c r="R267" s="64"/>
      <c r="S267" s="54"/>
      <c r="T267" s="42"/>
      <c r="U267" s="42"/>
      <c r="V267" s="47"/>
    </row>
    <row r="268" spans="1:22" ht="40.5" customHeight="1" x14ac:dyDescent="0.25">
      <c r="A268" s="118"/>
      <c r="B268" s="119"/>
      <c r="C268" s="119"/>
      <c r="D268" s="119"/>
      <c r="E268" s="119"/>
      <c r="F268" s="120"/>
      <c r="G268" s="23"/>
      <c r="H268" s="23"/>
      <c r="I268" s="23"/>
      <c r="J268" s="23"/>
      <c r="K268" s="23"/>
      <c r="L268" s="34"/>
      <c r="M268" s="23"/>
      <c r="N268" s="23"/>
      <c r="O268" s="23"/>
      <c r="P268" s="23"/>
      <c r="Q268" s="23"/>
      <c r="R268" s="64"/>
      <c r="S268" s="54"/>
      <c r="T268" s="42"/>
      <c r="U268" s="42"/>
      <c r="V268" s="47"/>
    </row>
    <row r="269" spans="1:22" ht="15" customHeight="1" x14ac:dyDescent="0.25">
      <c r="A269" s="118"/>
      <c r="B269" s="119"/>
      <c r="C269" s="119"/>
      <c r="D269" s="119"/>
      <c r="E269" s="119"/>
      <c r="F269" s="120"/>
      <c r="G269" s="23"/>
      <c r="H269" s="23"/>
      <c r="I269" s="23"/>
      <c r="J269" s="23"/>
      <c r="K269" s="23"/>
      <c r="L269" s="34"/>
      <c r="M269" s="23"/>
      <c r="N269" s="23"/>
      <c r="O269" s="23"/>
      <c r="P269" s="23"/>
      <c r="Q269" s="23"/>
      <c r="R269" s="64"/>
      <c r="S269" s="54"/>
      <c r="T269" s="42"/>
      <c r="U269" s="42"/>
      <c r="V269" s="47"/>
    </row>
    <row r="270" spans="1:22" ht="15" customHeight="1" x14ac:dyDescent="0.25">
      <c r="A270" s="118"/>
      <c r="B270" s="119"/>
      <c r="C270" s="119"/>
      <c r="D270" s="119"/>
      <c r="E270" s="119"/>
      <c r="F270" s="120"/>
      <c r="G270" s="23"/>
      <c r="H270" s="23"/>
      <c r="I270" s="23"/>
      <c r="J270" s="23"/>
      <c r="K270" s="23"/>
      <c r="L270" s="34"/>
      <c r="M270" s="23"/>
      <c r="N270" s="23"/>
      <c r="O270" s="23"/>
      <c r="P270" s="23"/>
      <c r="Q270" s="23"/>
      <c r="R270" s="64"/>
      <c r="S270" s="54"/>
      <c r="T270" s="42"/>
      <c r="U270" s="42"/>
      <c r="V270" s="47"/>
    </row>
    <row r="271" spans="1:22" ht="15" customHeight="1" x14ac:dyDescent="0.25">
      <c r="A271" s="118"/>
      <c r="B271" s="119"/>
      <c r="C271" s="119"/>
      <c r="D271" s="119"/>
      <c r="E271" s="119"/>
      <c r="F271" s="120"/>
      <c r="G271" s="23"/>
      <c r="H271" s="23"/>
      <c r="I271" s="23"/>
      <c r="J271" s="23"/>
      <c r="K271" s="23"/>
      <c r="L271" s="34"/>
      <c r="M271" s="23"/>
      <c r="N271" s="23"/>
      <c r="O271" s="23"/>
      <c r="P271" s="23"/>
      <c r="Q271" s="23"/>
      <c r="R271" s="64"/>
      <c r="S271" s="54"/>
      <c r="T271" s="42"/>
      <c r="U271" s="42"/>
      <c r="V271" s="47"/>
    </row>
    <row r="272" spans="1:22" ht="15" customHeight="1" x14ac:dyDescent="0.25">
      <c r="A272" s="118"/>
      <c r="B272" s="119"/>
      <c r="C272" s="119"/>
      <c r="D272" s="119"/>
      <c r="E272" s="119"/>
      <c r="F272" s="120"/>
      <c r="G272" s="23"/>
      <c r="H272" s="23"/>
      <c r="I272" s="23"/>
      <c r="J272" s="23"/>
      <c r="K272" s="23"/>
      <c r="L272" s="34"/>
      <c r="M272" s="23"/>
      <c r="N272" s="23"/>
      <c r="O272" s="23"/>
      <c r="P272" s="23"/>
      <c r="Q272" s="23"/>
      <c r="R272" s="64"/>
      <c r="S272" s="54"/>
      <c r="T272" s="42"/>
      <c r="U272" s="42"/>
      <c r="V272" s="47"/>
    </row>
    <row r="273" spans="1:22" ht="15" customHeight="1" x14ac:dyDescent="0.25">
      <c r="A273" s="118"/>
      <c r="B273" s="119"/>
      <c r="C273" s="119"/>
      <c r="D273" s="119"/>
      <c r="E273" s="119"/>
      <c r="F273" s="120"/>
      <c r="G273" s="23"/>
      <c r="H273" s="23"/>
      <c r="I273" s="23"/>
      <c r="J273" s="23"/>
      <c r="K273" s="23"/>
      <c r="L273" s="34"/>
      <c r="M273" s="23"/>
      <c r="N273" s="23"/>
      <c r="O273" s="23"/>
      <c r="P273" s="23"/>
      <c r="Q273" s="23"/>
      <c r="R273" s="64"/>
      <c r="S273" s="54"/>
      <c r="T273" s="42"/>
      <c r="U273" s="42"/>
      <c r="V273" s="47"/>
    </row>
    <row r="274" spans="1:22" ht="15" customHeight="1" x14ac:dyDescent="0.25">
      <c r="A274" s="118"/>
      <c r="B274" s="119"/>
      <c r="C274" s="119"/>
      <c r="D274" s="119"/>
      <c r="E274" s="119"/>
      <c r="F274" s="120"/>
      <c r="G274" s="23"/>
      <c r="H274" s="23"/>
      <c r="I274" s="23"/>
      <c r="J274" s="23"/>
      <c r="K274" s="23"/>
      <c r="L274" s="34"/>
      <c r="M274" s="23"/>
      <c r="N274" s="23"/>
      <c r="O274" s="23"/>
      <c r="P274" s="23"/>
      <c r="Q274" s="23"/>
      <c r="R274" s="64"/>
      <c r="S274" s="54"/>
      <c r="T274" s="42"/>
      <c r="U274" s="42"/>
      <c r="V274" s="47"/>
    </row>
    <row r="275" spans="1:22" ht="15" customHeight="1" x14ac:dyDescent="0.25">
      <c r="A275" s="118"/>
      <c r="B275" s="119"/>
      <c r="C275" s="119"/>
      <c r="D275" s="119"/>
      <c r="E275" s="119"/>
      <c r="F275" s="120"/>
      <c r="G275" s="23"/>
      <c r="H275" s="23"/>
      <c r="I275" s="23"/>
      <c r="J275" s="23"/>
      <c r="K275" s="23"/>
      <c r="L275" s="34"/>
      <c r="M275" s="23"/>
      <c r="N275" s="23"/>
      <c r="O275" s="23"/>
      <c r="P275" s="23"/>
      <c r="Q275" s="23"/>
      <c r="R275" s="64"/>
      <c r="S275" s="54"/>
      <c r="T275" s="42"/>
      <c r="U275" s="42"/>
      <c r="V275" s="47"/>
    </row>
    <row r="276" spans="1:22" ht="15" customHeight="1" x14ac:dyDescent="0.25">
      <c r="A276" s="118"/>
      <c r="B276" s="119"/>
      <c r="C276" s="119"/>
      <c r="D276" s="119"/>
      <c r="E276" s="119"/>
      <c r="F276" s="120"/>
      <c r="G276" s="23"/>
      <c r="H276" s="23"/>
      <c r="I276" s="23"/>
      <c r="J276" s="23"/>
      <c r="K276" s="23"/>
      <c r="L276" s="34"/>
      <c r="M276" s="23"/>
      <c r="N276" s="23"/>
      <c r="O276" s="23"/>
      <c r="P276" s="23"/>
      <c r="Q276" s="23"/>
      <c r="R276" s="64"/>
      <c r="S276" s="54"/>
      <c r="T276" s="42"/>
      <c r="U276" s="42"/>
      <c r="V276" s="47"/>
    </row>
    <row r="277" spans="1:22" ht="15.75" customHeight="1" thickBot="1" x14ac:dyDescent="0.3">
      <c r="A277" s="134" t="s">
        <v>20</v>
      </c>
      <c r="B277" s="135"/>
      <c r="C277" s="135"/>
      <c r="D277" s="135"/>
      <c r="E277" s="135"/>
      <c r="F277" s="135"/>
      <c r="G277" s="23"/>
      <c r="H277" s="23"/>
      <c r="I277" s="23"/>
      <c r="J277" s="23"/>
      <c r="K277" s="23"/>
      <c r="L277" s="28">
        <f>L261-L263</f>
        <v>202384.08000000002</v>
      </c>
      <c r="M277" s="23"/>
      <c r="N277" s="23"/>
      <c r="O277" s="23"/>
      <c r="P277" s="23"/>
      <c r="Q277" s="23"/>
      <c r="R277" s="64"/>
      <c r="S277" s="54"/>
      <c r="T277" s="42"/>
      <c r="U277" s="42"/>
      <c r="V277" s="47"/>
    </row>
    <row r="278" spans="1:22" ht="33" customHeight="1" x14ac:dyDescent="0.25">
      <c r="A278" s="90" t="s">
        <v>27</v>
      </c>
      <c r="B278" s="97" t="s">
        <v>39</v>
      </c>
      <c r="C278" s="7">
        <v>5</v>
      </c>
      <c r="D278" s="6">
        <v>4437.3999999999996</v>
      </c>
      <c r="E278" s="6"/>
      <c r="F278" s="6">
        <f t="shared" ref="F278" si="343">D278+E278</f>
        <v>4437.3999999999996</v>
      </c>
      <c r="G278" s="73"/>
      <c r="H278" s="73"/>
      <c r="I278" s="73"/>
      <c r="J278" s="73"/>
      <c r="K278" s="73"/>
      <c r="L278" s="73"/>
      <c r="M278" s="73"/>
      <c r="N278" s="73"/>
      <c r="O278" s="73"/>
      <c r="P278" s="73"/>
      <c r="Q278" s="73"/>
      <c r="R278" s="27"/>
      <c r="S278" s="48"/>
      <c r="T278" s="36"/>
      <c r="U278" s="36"/>
      <c r="V278" s="40"/>
    </row>
    <row r="279" spans="1:22" s="3" customFormat="1" ht="21" hidden="1" customHeight="1" x14ac:dyDescent="0.25">
      <c r="A279" s="123" t="s">
        <v>30</v>
      </c>
      <c r="B279" s="124"/>
      <c r="C279" s="124"/>
      <c r="D279" s="124"/>
      <c r="E279" s="124"/>
      <c r="F279" s="124"/>
      <c r="G279" s="11">
        <f t="shared" ref="G279:R279" si="344">$F$278*G$221</f>
        <v>0</v>
      </c>
      <c r="H279" s="11">
        <f t="shared" si="344"/>
        <v>0</v>
      </c>
      <c r="I279" s="11">
        <f t="shared" si="344"/>
        <v>0</v>
      </c>
      <c r="J279" s="11">
        <f t="shared" si="344"/>
        <v>0</v>
      </c>
      <c r="K279" s="11">
        <f t="shared" si="344"/>
        <v>0</v>
      </c>
      <c r="L279" s="11">
        <f t="shared" si="344"/>
        <v>0</v>
      </c>
      <c r="M279" s="11">
        <f t="shared" si="344"/>
        <v>0</v>
      </c>
      <c r="N279" s="11">
        <f t="shared" si="344"/>
        <v>0</v>
      </c>
      <c r="O279" s="11">
        <f t="shared" si="344"/>
        <v>0</v>
      </c>
      <c r="P279" s="11">
        <f t="shared" si="344"/>
        <v>0</v>
      </c>
      <c r="Q279" s="11">
        <f t="shared" si="344"/>
        <v>0</v>
      </c>
      <c r="R279" s="61">
        <f t="shared" si="344"/>
        <v>0</v>
      </c>
      <c r="S279" s="50"/>
      <c r="T279" s="37"/>
      <c r="U279" s="37"/>
      <c r="V279" s="38"/>
    </row>
    <row r="280" spans="1:22" s="3" customFormat="1" ht="21" customHeight="1" x14ac:dyDescent="0.25">
      <c r="A280" s="123" t="s">
        <v>49</v>
      </c>
      <c r="B280" s="124"/>
      <c r="C280" s="124"/>
      <c r="D280" s="124"/>
      <c r="E280" s="124"/>
      <c r="F280" s="124"/>
      <c r="G280" s="11">
        <f t="shared" ref="G280:R280" si="345">$F$278*G$222</f>
        <v>12202.849999999999</v>
      </c>
      <c r="H280" s="11">
        <f t="shared" si="345"/>
        <v>1331.2199999999998</v>
      </c>
      <c r="I280" s="11">
        <f t="shared" si="345"/>
        <v>19968.3</v>
      </c>
      <c r="J280" s="11">
        <f t="shared" si="345"/>
        <v>0</v>
      </c>
      <c r="K280" s="11">
        <f t="shared" si="345"/>
        <v>0</v>
      </c>
      <c r="L280" s="11">
        <f t="shared" si="345"/>
        <v>16418.38</v>
      </c>
      <c r="M280" s="11">
        <f t="shared" si="345"/>
        <v>11847.857999999998</v>
      </c>
      <c r="N280" s="11">
        <f t="shared" si="345"/>
        <v>11093.5</v>
      </c>
      <c r="O280" s="11">
        <f t="shared" si="345"/>
        <v>9274.1659999999993</v>
      </c>
      <c r="P280" s="11">
        <f t="shared" si="345"/>
        <v>0</v>
      </c>
      <c r="Q280" s="11">
        <f t="shared" si="345"/>
        <v>15752.769999999999</v>
      </c>
      <c r="R280" s="11">
        <f t="shared" si="345"/>
        <v>97889.044000000009</v>
      </c>
      <c r="S280" s="50"/>
      <c r="T280" s="37"/>
      <c r="U280" s="37"/>
      <c r="V280" s="38"/>
    </row>
    <row r="281" spans="1:22" s="3" customFormat="1" ht="21" customHeight="1" x14ac:dyDescent="0.25">
      <c r="A281" s="123" t="s">
        <v>76</v>
      </c>
      <c r="B281" s="124"/>
      <c r="C281" s="124"/>
      <c r="D281" s="124"/>
      <c r="E281" s="124"/>
      <c r="F281" s="124"/>
      <c r="G281" s="11">
        <f>$F$278*G$223</f>
        <v>12202.849999999999</v>
      </c>
      <c r="H281" s="11">
        <f t="shared" ref="H281:R281" si="346">$F$278*H$223</f>
        <v>1331.2199999999998</v>
      </c>
      <c r="I281" s="11">
        <f t="shared" si="346"/>
        <v>19968.3</v>
      </c>
      <c r="J281" s="11">
        <f t="shared" si="346"/>
        <v>0</v>
      </c>
      <c r="K281" s="11">
        <f t="shared" si="346"/>
        <v>0</v>
      </c>
      <c r="L281" s="11">
        <f t="shared" si="346"/>
        <v>16418.38</v>
      </c>
      <c r="M281" s="11">
        <f t="shared" si="346"/>
        <v>11847.857999999998</v>
      </c>
      <c r="N281" s="11">
        <f t="shared" si="346"/>
        <v>11093.5</v>
      </c>
      <c r="O281" s="11">
        <f t="shared" si="346"/>
        <v>9274.1659999999993</v>
      </c>
      <c r="P281" s="11">
        <f t="shared" si="346"/>
        <v>0</v>
      </c>
      <c r="Q281" s="11">
        <f t="shared" si="346"/>
        <v>22719.487999999998</v>
      </c>
      <c r="R281" s="11">
        <f t="shared" si="346"/>
        <v>104855.762</v>
      </c>
      <c r="S281" s="50"/>
      <c r="T281" s="37"/>
      <c r="U281" s="37"/>
      <c r="V281" s="38"/>
    </row>
    <row r="282" spans="1:22" s="8" customFormat="1" ht="21" customHeight="1" x14ac:dyDescent="0.25">
      <c r="A282" s="125" t="s">
        <v>19</v>
      </c>
      <c r="B282" s="126"/>
      <c r="C282" s="126"/>
      <c r="D282" s="126"/>
      <c r="E282" s="126"/>
      <c r="F282" s="126"/>
      <c r="G282" s="10">
        <f>G280*6+G281*6</f>
        <v>146434.19999999998</v>
      </c>
      <c r="H282" s="10">
        <f t="shared" ref="H282" si="347">H280*6+H281*6</f>
        <v>15974.639999999998</v>
      </c>
      <c r="I282" s="10">
        <f t="shared" ref="I282" si="348">I280*6+I281*6</f>
        <v>239619.59999999998</v>
      </c>
      <c r="J282" s="10">
        <f t="shared" ref="J282" si="349">J280*6+J281*6</f>
        <v>0</v>
      </c>
      <c r="K282" s="10">
        <f t="shared" ref="K282" si="350">K280*6+K281*6</f>
        <v>0</v>
      </c>
      <c r="L282" s="10">
        <f t="shared" ref="L282" si="351">L280*6+L281*6</f>
        <v>197020.56</v>
      </c>
      <c r="M282" s="10">
        <f t="shared" ref="M282" si="352">M280*6+M281*6</f>
        <v>142174.29599999997</v>
      </c>
      <c r="N282" s="10">
        <f t="shared" ref="N282" si="353">N280*6+N281*6</f>
        <v>133122</v>
      </c>
      <c r="O282" s="10">
        <f t="shared" ref="O282" si="354">O280*6+O281*6</f>
        <v>111289.992</v>
      </c>
      <c r="P282" s="10">
        <f t="shared" ref="P282" si="355">P280*6+P281*6</f>
        <v>0</v>
      </c>
      <c r="Q282" s="10">
        <f t="shared" ref="Q282" si="356">Q280*6+Q281*6</f>
        <v>230833.54799999998</v>
      </c>
      <c r="R282" s="10">
        <f t="shared" ref="R282" si="357">R280*6+R281*6</f>
        <v>1216468.8360000001</v>
      </c>
      <c r="S282" s="51"/>
      <c r="T282" s="38"/>
      <c r="U282" s="38"/>
      <c r="V282" s="38"/>
    </row>
    <row r="283" spans="1:22" ht="15" customHeight="1" x14ac:dyDescent="0.25">
      <c r="A283" s="127" t="s">
        <v>74</v>
      </c>
      <c r="B283" s="128"/>
      <c r="C283" s="128"/>
      <c r="D283" s="128"/>
      <c r="E283" s="128"/>
      <c r="F283" s="128"/>
      <c r="G283" s="21">
        <f>G282</f>
        <v>146434.19999999998</v>
      </c>
      <c r="H283" s="21">
        <f t="shared" ref="H283:R283" si="358">H282</f>
        <v>15974.639999999998</v>
      </c>
      <c r="I283" s="21">
        <f t="shared" si="358"/>
        <v>239619.59999999998</v>
      </c>
      <c r="J283" s="21">
        <f t="shared" si="358"/>
        <v>0</v>
      </c>
      <c r="K283" s="21">
        <f t="shared" si="358"/>
        <v>0</v>
      </c>
      <c r="L283" s="21">
        <f t="shared" si="358"/>
        <v>197020.56</v>
      </c>
      <c r="M283" s="21">
        <f t="shared" si="358"/>
        <v>142174.29599999997</v>
      </c>
      <c r="N283" s="21">
        <f t="shared" si="358"/>
        <v>133122</v>
      </c>
      <c r="O283" s="21">
        <f t="shared" si="358"/>
        <v>111289.992</v>
      </c>
      <c r="P283" s="21">
        <f t="shared" si="358"/>
        <v>0</v>
      </c>
      <c r="Q283" s="21">
        <f t="shared" si="358"/>
        <v>230833.54799999998</v>
      </c>
      <c r="R283" s="106">
        <f t="shared" si="358"/>
        <v>1216468.8360000001</v>
      </c>
      <c r="S283" s="49"/>
      <c r="T283" s="37">
        <f>347536.45+467629.68</f>
        <v>815166.13</v>
      </c>
      <c r="U283" s="37">
        <f>57391.52+94539.29</f>
        <v>151930.81</v>
      </c>
      <c r="V283" s="38"/>
    </row>
    <row r="284" spans="1:22" ht="15.75" customHeight="1" x14ac:dyDescent="0.25">
      <c r="A284" s="127" t="s">
        <v>75</v>
      </c>
      <c r="B284" s="128"/>
      <c r="C284" s="128"/>
      <c r="D284" s="128"/>
      <c r="E284" s="128"/>
      <c r="F284" s="128"/>
      <c r="G284" s="21">
        <f>$R284/$R283*G283</f>
        <v>146434.19999999998</v>
      </c>
      <c r="H284" s="21">
        <f t="shared" ref="H284:I284" si="359">$R284/$R283*H283</f>
        <v>15974.639999999998</v>
      </c>
      <c r="I284" s="21">
        <f t="shared" si="359"/>
        <v>239619.59999999998</v>
      </c>
      <c r="J284" s="21"/>
      <c r="K284" s="21"/>
      <c r="L284" s="21">
        <f t="shared" ref="L284:O284" si="360">$R284/$R283*L283</f>
        <v>197020.56</v>
      </c>
      <c r="M284" s="21">
        <f t="shared" si="360"/>
        <v>142174.29599999997</v>
      </c>
      <c r="N284" s="21">
        <f t="shared" si="360"/>
        <v>133122</v>
      </c>
      <c r="O284" s="21">
        <f t="shared" si="360"/>
        <v>111289.992</v>
      </c>
      <c r="P284" s="21"/>
      <c r="Q284" s="21">
        <f t="shared" ref="Q284" si="361">$R284/$R283*Q283</f>
        <v>230833.54799999998</v>
      </c>
      <c r="R284" s="107">
        <f>R283-R285</f>
        <v>1216468.8360000001</v>
      </c>
      <c r="S284" s="49">
        <f>R284/R283*100</f>
        <v>100</v>
      </c>
      <c r="T284" s="37">
        <v>449445.67</v>
      </c>
      <c r="U284" s="37">
        <v>89865.53</v>
      </c>
      <c r="V284" s="38"/>
    </row>
    <row r="285" spans="1:22" ht="18.75" customHeight="1" x14ac:dyDescent="0.25">
      <c r="A285" s="121" t="s">
        <v>18</v>
      </c>
      <c r="B285" s="122"/>
      <c r="C285" s="122"/>
      <c r="D285" s="122"/>
      <c r="E285" s="122"/>
      <c r="F285" s="122"/>
      <c r="G285" s="21">
        <f>$R285/$R283*G283</f>
        <v>0</v>
      </c>
      <c r="H285" s="21">
        <f>$R285/$R283*H283</f>
        <v>0</v>
      </c>
      <c r="I285" s="21">
        <f t="shared" ref="I285" si="362">$R285/$R283*I283</f>
        <v>0</v>
      </c>
      <c r="J285" s="21"/>
      <c r="K285" s="21"/>
      <c r="L285" s="21">
        <f t="shared" ref="L285:N285" si="363">$R285/$R283*L283</f>
        <v>0</v>
      </c>
      <c r="M285" s="21">
        <f t="shared" si="363"/>
        <v>0</v>
      </c>
      <c r="N285" s="21">
        <f t="shared" si="363"/>
        <v>0</v>
      </c>
      <c r="O285" s="21">
        <f>$R285/$R283*O283</f>
        <v>0</v>
      </c>
      <c r="P285" s="21"/>
      <c r="Q285" s="21">
        <f t="shared" ref="Q285" si="364">$R285/$R283*Q283</f>
        <v>0</v>
      </c>
      <c r="R285" s="108"/>
      <c r="S285" s="49"/>
      <c r="T285" s="37">
        <f>T283-T284</f>
        <v>365720.46</v>
      </c>
      <c r="U285" s="37">
        <f>U283-U284</f>
        <v>62065.279999999999</v>
      </c>
      <c r="V285" s="38">
        <f>T285+U285</f>
        <v>427785.74</v>
      </c>
    </row>
    <row r="286" spans="1:22" ht="15" customHeight="1" x14ac:dyDescent="0.25">
      <c r="A286" s="132" t="s">
        <v>17</v>
      </c>
      <c r="B286" s="133"/>
      <c r="C286" s="133"/>
      <c r="D286" s="133"/>
      <c r="E286" s="133"/>
      <c r="F286" s="133"/>
      <c r="G286" s="9"/>
      <c r="H286" s="9"/>
      <c r="I286" s="9"/>
      <c r="J286" s="9"/>
      <c r="K286" s="9"/>
      <c r="L286" s="10">
        <f>L287+L288+L289+L290+L291+L292+L293</f>
        <v>378514.21</v>
      </c>
      <c r="M286" s="9"/>
      <c r="N286" s="9"/>
      <c r="O286" s="9"/>
      <c r="P286" s="9"/>
      <c r="Q286" s="9"/>
      <c r="R286" s="62"/>
      <c r="S286" s="49"/>
      <c r="T286" s="37"/>
      <c r="U286" s="37"/>
      <c r="V286" s="38"/>
    </row>
    <row r="287" spans="1:22" ht="15" customHeight="1" x14ac:dyDescent="0.25">
      <c r="A287" s="118" t="s">
        <v>65</v>
      </c>
      <c r="B287" s="119"/>
      <c r="C287" s="119"/>
      <c r="D287" s="119"/>
      <c r="E287" s="119"/>
      <c r="F287" s="120"/>
      <c r="G287" s="23"/>
      <c r="H287" s="23"/>
      <c r="I287" s="23"/>
      <c r="J287" s="23"/>
      <c r="K287" s="23"/>
      <c r="L287" s="116">
        <v>78733.73</v>
      </c>
      <c r="M287" s="23"/>
      <c r="N287" s="23"/>
      <c r="O287" s="23"/>
      <c r="P287" s="23"/>
      <c r="Q287" s="23"/>
      <c r="R287" s="64"/>
      <c r="S287" s="54"/>
      <c r="T287" s="42"/>
      <c r="U287" s="42"/>
      <c r="V287" s="47"/>
    </row>
    <row r="288" spans="1:22" ht="21.75" customHeight="1" x14ac:dyDescent="0.25">
      <c r="A288" s="118" t="s">
        <v>66</v>
      </c>
      <c r="B288" s="119"/>
      <c r="C288" s="119"/>
      <c r="D288" s="119"/>
      <c r="E288" s="119"/>
      <c r="F288" s="120"/>
      <c r="G288" s="23"/>
      <c r="H288" s="23"/>
      <c r="I288" s="23"/>
      <c r="J288" s="23"/>
      <c r="K288" s="23"/>
      <c r="L288" s="116">
        <v>77397.600000000006</v>
      </c>
      <c r="M288" s="23"/>
      <c r="N288" s="23"/>
      <c r="O288" s="23"/>
      <c r="P288" s="23"/>
      <c r="Q288" s="23"/>
      <c r="R288" s="64"/>
      <c r="S288" s="54"/>
      <c r="T288" s="42"/>
      <c r="U288" s="42"/>
      <c r="V288" s="47"/>
    </row>
    <row r="289" spans="1:22" ht="21" customHeight="1" x14ac:dyDescent="0.25">
      <c r="A289" s="118" t="s">
        <v>69</v>
      </c>
      <c r="B289" s="119"/>
      <c r="C289" s="119"/>
      <c r="D289" s="119"/>
      <c r="E289" s="119"/>
      <c r="F289" s="120"/>
      <c r="G289" s="23"/>
      <c r="H289" s="23"/>
      <c r="I289" s="23"/>
      <c r="J289" s="23"/>
      <c r="K289" s="23"/>
      <c r="L289" s="111">
        <v>145461.45000000001</v>
      </c>
      <c r="M289" s="23"/>
      <c r="N289" s="23"/>
      <c r="O289" s="23"/>
      <c r="P289" s="23"/>
      <c r="Q289" s="23"/>
      <c r="R289" s="64"/>
      <c r="S289" s="54"/>
      <c r="T289" s="42"/>
      <c r="U289" s="42"/>
      <c r="V289" s="47"/>
    </row>
    <row r="290" spans="1:22" ht="21" customHeight="1" x14ac:dyDescent="0.25">
      <c r="A290" s="118" t="s">
        <v>71</v>
      </c>
      <c r="B290" s="119"/>
      <c r="C290" s="119"/>
      <c r="D290" s="119"/>
      <c r="E290" s="119"/>
      <c r="F290" s="120"/>
      <c r="G290" s="23"/>
      <c r="H290" s="23"/>
      <c r="I290" s="23"/>
      <c r="J290" s="23"/>
      <c r="K290" s="23"/>
      <c r="L290" s="115">
        <v>76921.429999999993</v>
      </c>
      <c r="M290" s="23"/>
      <c r="N290" s="23"/>
      <c r="O290" s="23"/>
      <c r="P290" s="23"/>
      <c r="Q290" s="23"/>
      <c r="R290" s="64"/>
      <c r="S290" s="54"/>
      <c r="T290" s="42"/>
      <c r="U290" s="42"/>
      <c r="V290" s="47"/>
    </row>
    <row r="291" spans="1:22" ht="21" customHeight="1" x14ac:dyDescent="0.25">
      <c r="A291" s="118"/>
      <c r="B291" s="119"/>
      <c r="C291" s="119"/>
      <c r="D291" s="119"/>
      <c r="E291" s="119"/>
      <c r="F291" s="120"/>
      <c r="G291" s="23"/>
      <c r="H291" s="23"/>
      <c r="I291" s="23"/>
      <c r="J291" s="23"/>
      <c r="K291" s="23"/>
      <c r="L291" s="34"/>
      <c r="M291" s="23"/>
      <c r="N291" s="23"/>
      <c r="O291" s="23"/>
      <c r="P291" s="23"/>
      <c r="Q291" s="23"/>
      <c r="R291" s="64"/>
      <c r="S291" s="54"/>
      <c r="T291" s="42"/>
      <c r="U291" s="42"/>
      <c r="V291" s="47"/>
    </row>
    <row r="292" spans="1:22" ht="21" customHeight="1" x14ac:dyDescent="0.25">
      <c r="A292" s="118"/>
      <c r="B292" s="119"/>
      <c r="C292" s="119"/>
      <c r="D292" s="119"/>
      <c r="E292" s="119"/>
      <c r="F292" s="120"/>
      <c r="G292" s="23"/>
      <c r="H292" s="23"/>
      <c r="I292" s="23"/>
      <c r="J292" s="23"/>
      <c r="K292" s="23"/>
      <c r="L292" s="34"/>
      <c r="M292" s="23"/>
      <c r="N292" s="23"/>
      <c r="O292" s="23"/>
      <c r="P292" s="23"/>
      <c r="Q292" s="23"/>
      <c r="R292" s="64"/>
      <c r="S292" s="54"/>
      <c r="T292" s="42"/>
      <c r="U292" s="42"/>
      <c r="V292" s="47"/>
    </row>
    <row r="293" spans="1:22" ht="21" customHeight="1" x14ac:dyDescent="0.25">
      <c r="A293" s="118"/>
      <c r="B293" s="119"/>
      <c r="C293" s="119"/>
      <c r="D293" s="119"/>
      <c r="E293" s="119"/>
      <c r="F293" s="120"/>
      <c r="G293" s="23"/>
      <c r="H293" s="23"/>
      <c r="I293" s="23"/>
      <c r="J293" s="23"/>
      <c r="K293" s="23"/>
      <c r="L293" s="34"/>
      <c r="M293" s="23"/>
      <c r="N293" s="23"/>
      <c r="O293" s="23"/>
      <c r="P293" s="23"/>
      <c r="Q293" s="23"/>
      <c r="R293" s="64"/>
      <c r="S293" s="54"/>
      <c r="T293" s="42"/>
      <c r="U293" s="42"/>
      <c r="V293" s="47"/>
    </row>
    <row r="294" spans="1:22" ht="15.75" customHeight="1" thickBot="1" x14ac:dyDescent="0.3">
      <c r="A294" s="136" t="s">
        <v>20</v>
      </c>
      <c r="B294" s="137"/>
      <c r="C294" s="137"/>
      <c r="D294" s="137"/>
      <c r="E294" s="137"/>
      <c r="F294" s="137"/>
      <c r="G294" s="14"/>
      <c r="H294" s="14"/>
      <c r="I294" s="14"/>
      <c r="J294" s="14"/>
      <c r="K294" s="14"/>
      <c r="L294" s="26">
        <f>L284-L286</f>
        <v>-181493.65000000002</v>
      </c>
      <c r="M294" s="14"/>
      <c r="N294" s="14"/>
      <c r="O294" s="14"/>
      <c r="P294" s="14"/>
      <c r="Q294" s="14"/>
      <c r="R294" s="63"/>
      <c r="S294" s="52"/>
      <c r="T294" s="39"/>
      <c r="U294" s="39"/>
      <c r="V294" s="45"/>
    </row>
    <row r="295" spans="1:22" ht="33" customHeight="1" x14ac:dyDescent="0.25">
      <c r="A295" s="91" t="s">
        <v>27</v>
      </c>
      <c r="B295" s="98" t="s">
        <v>40</v>
      </c>
      <c r="C295" s="12">
        <v>5</v>
      </c>
      <c r="D295" s="13">
        <v>5268.8</v>
      </c>
      <c r="E295" s="13"/>
      <c r="F295" s="13">
        <f t="shared" ref="F295" si="365">D295+E295</f>
        <v>5268.8</v>
      </c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65"/>
      <c r="S295" s="55"/>
      <c r="T295" s="41"/>
      <c r="U295" s="41"/>
      <c r="V295" s="46"/>
    </row>
    <row r="296" spans="1:22" s="3" customFormat="1" ht="21" hidden="1" customHeight="1" x14ac:dyDescent="0.25">
      <c r="A296" s="123" t="s">
        <v>30</v>
      </c>
      <c r="B296" s="124"/>
      <c r="C296" s="124"/>
      <c r="D296" s="124"/>
      <c r="E296" s="124"/>
      <c r="F296" s="124"/>
      <c r="G296" s="11">
        <f t="shared" ref="G296:R296" si="366">$F$295*G$221</f>
        <v>0</v>
      </c>
      <c r="H296" s="11">
        <f t="shared" si="366"/>
        <v>0</v>
      </c>
      <c r="I296" s="11">
        <f t="shared" si="366"/>
        <v>0</v>
      </c>
      <c r="J296" s="11">
        <f t="shared" si="366"/>
        <v>0</v>
      </c>
      <c r="K296" s="11">
        <f t="shared" si="366"/>
        <v>0</v>
      </c>
      <c r="L296" s="11">
        <f t="shared" si="366"/>
        <v>0</v>
      </c>
      <c r="M296" s="11">
        <f t="shared" si="366"/>
        <v>0</v>
      </c>
      <c r="N296" s="11">
        <f t="shared" si="366"/>
        <v>0</v>
      </c>
      <c r="O296" s="11">
        <f t="shared" si="366"/>
        <v>0</v>
      </c>
      <c r="P296" s="11">
        <f t="shared" si="366"/>
        <v>0</v>
      </c>
      <c r="Q296" s="11">
        <f t="shared" si="366"/>
        <v>0</v>
      </c>
      <c r="R296" s="61">
        <f t="shared" si="366"/>
        <v>0</v>
      </c>
      <c r="S296" s="50"/>
      <c r="T296" s="37"/>
      <c r="U296" s="37"/>
      <c r="V296" s="38"/>
    </row>
    <row r="297" spans="1:22" s="3" customFormat="1" ht="21" customHeight="1" x14ac:dyDescent="0.25">
      <c r="A297" s="123" t="s">
        <v>49</v>
      </c>
      <c r="B297" s="124"/>
      <c r="C297" s="124"/>
      <c r="D297" s="124"/>
      <c r="E297" s="124"/>
      <c r="F297" s="124"/>
      <c r="G297" s="11">
        <f t="shared" ref="G297:R297" si="367">$F$295*G$222</f>
        <v>14489.2</v>
      </c>
      <c r="H297" s="11">
        <f t="shared" si="367"/>
        <v>1580.64</v>
      </c>
      <c r="I297" s="11">
        <f t="shared" si="367"/>
        <v>23709.600000000002</v>
      </c>
      <c r="J297" s="11">
        <f t="shared" si="367"/>
        <v>0</v>
      </c>
      <c r="K297" s="11">
        <f t="shared" si="367"/>
        <v>0</v>
      </c>
      <c r="L297" s="11">
        <f t="shared" si="367"/>
        <v>19494.560000000001</v>
      </c>
      <c r="M297" s="11">
        <f t="shared" si="367"/>
        <v>14067.696</v>
      </c>
      <c r="N297" s="11">
        <f t="shared" si="367"/>
        <v>13172</v>
      </c>
      <c r="O297" s="11">
        <f t="shared" si="367"/>
        <v>11011.791999999999</v>
      </c>
      <c r="P297" s="11">
        <f t="shared" si="367"/>
        <v>0</v>
      </c>
      <c r="Q297" s="11">
        <f t="shared" si="367"/>
        <v>18704.239999999998</v>
      </c>
      <c r="R297" s="11">
        <f t="shared" si="367"/>
        <v>116229.72800000002</v>
      </c>
      <c r="S297" s="50"/>
      <c r="T297" s="37"/>
      <c r="U297" s="37"/>
      <c r="V297" s="38"/>
    </row>
    <row r="298" spans="1:22" s="3" customFormat="1" ht="21" customHeight="1" x14ac:dyDescent="0.25">
      <c r="A298" s="123" t="s">
        <v>76</v>
      </c>
      <c r="B298" s="124"/>
      <c r="C298" s="124"/>
      <c r="D298" s="124"/>
      <c r="E298" s="124"/>
      <c r="F298" s="124"/>
      <c r="G298" s="11">
        <f>$F$295*G$223</f>
        <v>14489.2</v>
      </c>
      <c r="H298" s="11">
        <f t="shared" ref="H298:R298" si="368">$F$295*H$223</f>
        <v>1580.64</v>
      </c>
      <c r="I298" s="11">
        <f t="shared" si="368"/>
        <v>23709.600000000002</v>
      </c>
      <c r="J298" s="11">
        <f t="shared" si="368"/>
        <v>0</v>
      </c>
      <c r="K298" s="11">
        <f t="shared" si="368"/>
        <v>0</v>
      </c>
      <c r="L298" s="11">
        <f t="shared" si="368"/>
        <v>19494.560000000001</v>
      </c>
      <c r="M298" s="11">
        <f t="shared" si="368"/>
        <v>14067.696</v>
      </c>
      <c r="N298" s="11">
        <f t="shared" si="368"/>
        <v>13172</v>
      </c>
      <c r="O298" s="11">
        <f t="shared" si="368"/>
        <v>11011.791999999999</v>
      </c>
      <c r="P298" s="11">
        <f t="shared" si="368"/>
        <v>0</v>
      </c>
      <c r="Q298" s="11">
        <f t="shared" si="368"/>
        <v>26976.256000000001</v>
      </c>
      <c r="R298" s="11">
        <f t="shared" si="368"/>
        <v>124501.74400000002</v>
      </c>
      <c r="S298" s="50"/>
      <c r="T298" s="37"/>
      <c r="U298" s="37"/>
      <c r="V298" s="38"/>
    </row>
    <row r="299" spans="1:22" s="8" customFormat="1" ht="21" customHeight="1" x14ac:dyDescent="0.25">
      <c r="A299" s="125" t="s">
        <v>19</v>
      </c>
      <c r="B299" s="126"/>
      <c r="C299" s="126"/>
      <c r="D299" s="126"/>
      <c r="E299" s="126"/>
      <c r="F299" s="126"/>
      <c r="G299" s="10">
        <f>G297*6+G298*6</f>
        <v>173870.40000000002</v>
      </c>
      <c r="H299" s="10">
        <f t="shared" ref="H299" si="369">H297*6+H298*6</f>
        <v>18967.68</v>
      </c>
      <c r="I299" s="10">
        <f t="shared" ref="I299" si="370">I297*6+I298*6</f>
        <v>284515.20000000001</v>
      </c>
      <c r="J299" s="10">
        <f t="shared" ref="J299" si="371">J297*6+J298*6</f>
        <v>0</v>
      </c>
      <c r="K299" s="10">
        <f t="shared" ref="K299" si="372">K297*6+K298*6</f>
        <v>0</v>
      </c>
      <c r="L299" s="10">
        <f t="shared" ref="L299" si="373">L297*6+L298*6</f>
        <v>233934.72000000003</v>
      </c>
      <c r="M299" s="10">
        <f t="shared" ref="M299" si="374">M297*6+M298*6</f>
        <v>168812.35200000001</v>
      </c>
      <c r="N299" s="10">
        <f t="shared" ref="N299" si="375">N297*6+N298*6</f>
        <v>158064</v>
      </c>
      <c r="O299" s="10">
        <f t="shared" ref="O299" si="376">O297*6+O298*6</f>
        <v>132141.50399999999</v>
      </c>
      <c r="P299" s="10">
        <f t="shared" ref="P299" si="377">P297*6+P298*6</f>
        <v>0</v>
      </c>
      <c r="Q299" s="10">
        <f t="shared" ref="Q299" si="378">Q297*6+Q298*6</f>
        <v>274082.97600000002</v>
      </c>
      <c r="R299" s="10">
        <f t="shared" ref="R299" si="379">R297*6+R298*6</f>
        <v>1444388.8320000004</v>
      </c>
      <c r="S299" s="51"/>
      <c r="T299" s="38"/>
      <c r="U299" s="38"/>
      <c r="V299" s="38"/>
    </row>
    <row r="300" spans="1:22" ht="15" customHeight="1" x14ac:dyDescent="0.25">
      <c r="A300" s="127" t="s">
        <v>74</v>
      </c>
      <c r="B300" s="128"/>
      <c r="C300" s="128"/>
      <c r="D300" s="128"/>
      <c r="E300" s="128"/>
      <c r="F300" s="128"/>
      <c r="G300" s="21">
        <f>G299</f>
        <v>173870.40000000002</v>
      </c>
      <c r="H300" s="21">
        <f t="shared" ref="H300:R300" si="380">H299</f>
        <v>18967.68</v>
      </c>
      <c r="I300" s="21">
        <f t="shared" si="380"/>
        <v>284515.20000000001</v>
      </c>
      <c r="J300" s="21">
        <f t="shared" si="380"/>
        <v>0</v>
      </c>
      <c r="K300" s="21">
        <f t="shared" si="380"/>
        <v>0</v>
      </c>
      <c r="L300" s="21">
        <f t="shared" si="380"/>
        <v>233934.72000000003</v>
      </c>
      <c r="M300" s="21">
        <f t="shared" si="380"/>
        <v>168812.35200000001</v>
      </c>
      <c r="N300" s="21">
        <f t="shared" si="380"/>
        <v>158064</v>
      </c>
      <c r="O300" s="21">
        <f t="shared" si="380"/>
        <v>132141.50399999999</v>
      </c>
      <c r="P300" s="21">
        <f t="shared" si="380"/>
        <v>0</v>
      </c>
      <c r="Q300" s="21">
        <f t="shared" si="380"/>
        <v>274082.97600000002</v>
      </c>
      <c r="R300" s="106">
        <f t="shared" si="380"/>
        <v>1444388.8320000004</v>
      </c>
      <c r="S300" s="49"/>
      <c r="T300" s="37">
        <f>190361.19+555231.38</f>
        <v>745592.57000000007</v>
      </c>
      <c r="U300" s="37">
        <f>38496.12+112249.66</f>
        <v>150745.78</v>
      </c>
      <c r="V300" s="38"/>
    </row>
    <row r="301" spans="1:22" ht="15.75" customHeight="1" x14ac:dyDescent="0.25">
      <c r="A301" s="127" t="s">
        <v>75</v>
      </c>
      <c r="B301" s="128"/>
      <c r="C301" s="128"/>
      <c r="D301" s="128"/>
      <c r="E301" s="128"/>
      <c r="F301" s="128"/>
      <c r="G301" s="21">
        <f>$R301/$R300*G300</f>
        <v>173870.40000000002</v>
      </c>
      <c r="H301" s="21">
        <f t="shared" ref="H301:I301" si="381">$R301/$R300*H300</f>
        <v>18967.68</v>
      </c>
      <c r="I301" s="21">
        <f t="shared" si="381"/>
        <v>284515.20000000001</v>
      </c>
      <c r="J301" s="21"/>
      <c r="K301" s="21"/>
      <c r="L301" s="21">
        <f t="shared" ref="L301:O301" si="382">$R301/$R300*L300</f>
        <v>233934.72000000003</v>
      </c>
      <c r="M301" s="21">
        <f t="shared" si="382"/>
        <v>168812.35200000001</v>
      </c>
      <c r="N301" s="21">
        <f t="shared" si="382"/>
        <v>158064</v>
      </c>
      <c r="O301" s="21">
        <f t="shared" si="382"/>
        <v>132141.50399999999</v>
      </c>
      <c r="P301" s="21"/>
      <c r="Q301" s="21">
        <f t="shared" ref="Q301" si="383">$R301/$R300*Q300</f>
        <v>274082.97600000002</v>
      </c>
      <c r="R301" s="107">
        <f>R300-R302</f>
        <v>1444388.8320000004</v>
      </c>
      <c r="S301" s="49">
        <f>R301/R300*100</f>
        <v>100</v>
      </c>
      <c r="T301" s="37">
        <v>534730.54</v>
      </c>
      <c r="U301" s="37">
        <v>108108.72</v>
      </c>
      <c r="V301" s="38"/>
    </row>
    <row r="302" spans="1:22" ht="18.75" customHeight="1" x14ac:dyDescent="0.25">
      <c r="A302" s="121" t="s">
        <v>18</v>
      </c>
      <c r="B302" s="122"/>
      <c r="C302" s="122"/>
      <c r="D302" s="122"/>
      <c r="E302" s="122"/>
      <c r="F302" s="122"/>
      <c r="G302" s="21">
        <f>$R302/$R300*G300</f>
        <v>0</v>
      </c>
      <c r="H302" s="21">
        <f>$R302/$R300*H300</f>
        <v>0</v>
      </c>
      <c r="I302" s="21">
        <f t="shared" ref="I302" si="384">$R302/$R300*I300</f>
        <v>0</v>
      </c>
      <c r="J302" s="21"/>
      <c r="K302" s="21"/>
      <c r="L302" s="21">
        <f t="shared" ref="L302:N302" si="385">$R302/$R300*L300</f>
        <v>0</v>
      </c>
      <c r="M302" s="21">
        <f t="shared" si="385"/>
        <v>0</v>
      </c>
      <c r="N302" s="21">
        <f t="shared" si="385"/>
        <v>0</v>
      </c>
      <c r="O302" s="21">
        <f>$R302/$R300*O300</f>
        <v>0</v>
      </c>
      <c r="P302" s="21"/>
      <c r="Q302" s="21">
        <f t="shared" ref="Q302" si="386">$R302/$R300*Q300</f>
        <v>0</v>
      </c>
      <c r="R302" s="108"/>
      <c r="S302" s="49"/>
      <c r="T302" s="37">
        <f>T300-T301</f>
        <v>210862.03000000003</v>
      </c>
      <c r="U302" s="37">
        <f>U300-U301</f>
        <v>42637.06</v>
      </c>
      <c r="V302" s="38">
        <f>T302+U302</f>
        <v>253499.09000000003</v>
      </c>
    </row>
    <row r="303" spans="1:22" ht="15" customHeight="1" x14ac:dyDescent="0.25">
      <c r="A303" s="132" t="s">
        <v>17</v>
      </c>
      <c r="B303" s="133"/>
      <c r="C303" s="133"/>
      <c r="D303" s="133"/>
      <c r="E303" s="133"/>
      <c r="F303" s="133"/>
      <c r="G303" s="9"/>
      <c r="H303" s="9"/>
      <c r="I303" s="9"/>
      <c r="J303" s="9"/>
      <c r="K303" s="9"/>
      <c r="L303" s="10">
        <f>L304+L305+L306+L307+L308+L309</f>
        <v>153990.46</v>
      </c>
      <c r="M303" s="9"/>
      <c r="N303" s="9"/>
      <c r="O303" s="9"/>
      <c r="P303" s="9"/>
      <c r="Q303" s="9"/>
      <c r="R303" s="62"/>
      <c r="S303" s="49"/>
      <c r="T303" s="37"/>
      <c r="U303" s="37"/>
      <c r="V303" s="38"/>
    </row>
    <row r="304" spans="1:22" ht="15" customHeight="1" x14ac:dyDescent="0.25">
      <c r="A304" s="118" t="s">
        <v>55</v>
      </c>
      <c r="B304" s="119"/>
      <c r="C304" s="119"/>
      <c r="D304" s="119"/>
      <c r="E304" s="119"/>
      <c r="F304" s="120"/>
      <c r="G304" s="23"/>
      <c r="H304" s="23"/>
      <c r="I304" s="23"/>
      <c r="J304" s="23"/>
      <c r="K304" s="23"/>
      <c r="L304" s="112">
        <v>6750</v>
      </c>
      <c r="M304" s="23"/>
      <c r="N304" s="23"/>
      <c r="O304" s="23"/>
      <c r="P304" s="23"/>
      <c r="Q304" s="23"/>
      <c r="R304" s="64"/>
      <c r="S304" s="54"/>
      <c r="T304" s="42"/>
      <c r="U304" s="42"/>
      <c r="V304" s="47"/>
    </row>
    <row r="305" spans="1:22" ht="19.5" customHeight="1" x14ac:dyDescent="0.25">
      <c r="A305" s="118" t="s">
        <v>62</v>
      </c>
      <c r="B305" s="119"/>
      <c r="C305" s="119"/>
      <c r="D305" s="119"/>
      <c r="E305" s="119"/>
      <c r="F305" s="120"/>
      <c r="G305" s="23"/>
      <c r="H305" s="23"/>
      <c r="I305" s="23"/>
      <c r="J305" s="23"/>
      <c r="K305" s="23"/>
      <c r="L305" s="117">
        <f>73620.23*2</f>
        <v>147240.46</v>
      </c>
      <c r="M305" s="23"/>
      <c r="N305" s="23"/>
      <c r="O305" s="23"/>
      <c r="P305" s="23"/>
      <c r="Q305" s="23"/>
      <c r="R305" s="64"/>
      <c r="S305" s="54"/>
      <c r="T305" s="42"/>
      <c r="U305" s="42"/>
      <c r="V305" s="47"/>
    </row>
    <row r="306" spans="1:22" ht="49.5" customHeight="1" x14ac:dyDescent="0.25">
      <c r="A306" s="118"/>
      <c r="B306" s="119"/>
      <c r="C306" s="119"/>
      <c r="D306" s="119"/>
      <c r="E306" s="119"/>
      <c r="F306" s="120"/>
      <c r="G306" s="23"/>
      <c r="H306" s="23"/>
      <c r="I306" s="23"/>
      <c r="J306" s="23"/>
      <c r="K306" s="23"/>
      <c r="L306" s="34"/>
      <c r="M306" s="23"/>
      <c r="N306" s="23"/>
      <c r="O306" s="23"/>
      <c r="P306" s="23"/>
      <c r="Q306" s="23"/>
      <c r="R306" s="64"/>
      <c r="S306" s="54"/>
      <c r="T306" s="42"/>
      <c r="U306" s="42"/>
      <c r="V306" s="47"/>
    </row>
    <row r="307" spans="1:22" ht="21" customHeight="1" x14ac:dyDescent="0.25">
      <c r="A307" s="118"/>
      <c r="B307" s="119"/>
      <c r="C307" s="119"/>
      <c r="D307" s="119"/>
      <c r="E307" s="119"/>
      <c r="F307" s="120"/>
      <c r="G307" s="23"/>
      <c r="H307" s="23"/>
      <c r="I307" s="23"/>
      <c r="J307" s="23"/>
      <c r="K307" s="23"/>
      <c r="L307" s="34"/>
      <c r="M307" s="23"/>
      <c r="N307" s="23"/>
      <c r="O307" s="23"/>
      <c r="P307" s="23"/>
      <c r="Q307" s="23"/>
      <c r="R307" s="64"/>
      <c r="S307" s="54"/>
      <c r="T307" s="42"/>
      <c r="U307" s="42"/>
      <c r="V307" s="47"/>
    </row>
    <row r="308" spans="1:22" ht="21" customHeight="1" x14ac:dyDescent="0.25">
      <c r="A308" s="118"/>
      <c r="B308" s="119"/>
      <c r="C308" s="119"/>
      <c r="D308" s="119"/>
      <c r="E308" s="119"/>
      <c r="F308" s="120"/>
      <c r="G308" s="23"/>
      <c r="H308" s="23"/>
      <c r="I308" s="23"/>
      <c r="J308" s="23"/>
      <c r="K308" s="23"/>
      <c r="L308" s="34"/>
      <c r="M308" s="23"/>
      <c r="N308" s="23"/>
      <c r="O308" s="23"/>
      <c r="P308" s="23"/>
      <c r="Q308" s="23"/>
      <c r="R308" s="64"/>
      <c r="S308" s="54"/>
      <c r="T308" s="42"/>
      <c r="U308" s="42"/>
      <c r="V308" s="47"/>
    </row>
    <row r="309" spans="1:22" ht="21" customHeight="1" x14ac:dyDescent="0.25">
      <c r="A309" s="118"/>
      <c r="B309" s="119"/>
      <c r="C309" s="119"/>
      <c r="D309" s="119"/>
      <c r="E309" s="119"/>
      <c r="F309" s="120"/>
      <c r="G309" s="23"/>
      <c r="H309" s="23"/>
      <c r="I309" s="23"/>
      <c r="J309" s="23"/>
      <c r="K309" s="23"/>
      <c r="L309" s="34"/>
      <c r="M309" s="23"/>
      <c r="N309" s="23"/>
      <c r="O309" s="23"/>
      <c r="P309" s="23"/>
      <c r="Q309" s="23"/>
      <c r="R309" s="64"/>
      <c r="S309" s="54"/>
      <c r="T309" s="42"/>
      <c r="U309" s="42"/>
      <c r="V309" s="47"/>
    </row>
    <row r="310" spans="1:22" ht="15.75" customHeight="1" thickBot="1" x14ac:dyDescent="0.3">
      <c r="A310" s="134" t="s">
        <v>20</v>
      </c>
      <c r="B310" s="135"/>
      <c r="C310" s="135"/>
      <c r="D310" s="135"/>
      <c r="E310" s="135"/>
      <c r="F310" s="135"/>
      <c r="G310" s="23"/>
      <c r="H310" s="23"/>
      <c r="I310" s="23"/>
      <c r="J310" s="23"/>
      <c r="K310" s="23"/>
      <c r="L310" s="28">
        <f>L301-L303</f>
        <v>79944.260000000038</v>
      </c>
      <c r="M310" s="23"/>
      <c r="N310" s="23"/>
      <c r="O310" s="23"/>
      <c r="P310" s="23"/>
      <c r="Q310" s="23"/>
      <c r="R310" s="64"/>
      <c r="S310" s="54"/>
      <c r="T310" s="42"/>
      <c r="U310" s="42"/>
      <c r="V310" s="47"/>
    </row>
    <row r="311" spans="1:22" ht="33" customHeight="1" x14ac:dyDescent="0.25">
      <c r="A311" s="88" t="s">
        <v>27</v>
      </c>
      <c r="B311" s="99">
        <v>9</v>
      </c>
      <c r="C311" s="29">
        <v>5</v>
      </c>
      <c r="D311" s="30">
        <v>3394.7</v>
      </c>
      <c r="E311" s="30"/>
      <c r="F311" s="30">
        <f t="shared" ref="F311" si="387">D311+E311</f>
        <v>3394.7</v>
      </c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2"/>
      <c r="S311" s="57"/>
      <c r="T311" s="36"/>
      <c r="U311" s="36"/>
      <c r="V311" s="40"/>
    </row>
    <row r="312" spans="1:22" s="3" customFormat="1" ht="21" hidden="1" customHeight="1" x14ac:dyDescent="0.25">
      <c r="A312" s="123" t="s">
        <v>30</v>
      </c>
      <c r="B312" s="124"/>
      <c r="C312" s="124"/>
      <c r="D312" s="124"/>
      <c r="E312" s="124"/>
      <c r="F312" s="124"/>
      <c r="G312" s="11">
        <f t="shared" ref="G312:R312" si="388">$F$311*G$221</f>
        <v>0</v>
      </c>
      <c r="H312" s="11">
        <f t="shared" si="388"/>
        <v>0</v>
      </c>
      <c r="I312" s="11">
        <f t="shared" si="388"/>
        <v>0</v>
      </c>
      <c r="J312" s="11">
        <f t="shared" si="388"/>
        <v>0</v>
      </c>
      <c r="K312" s="11">
        <f t="shared" si="388"/>
        <v>0</v>
      </c>
      <c r="L312" s="11">
        <f t="shared" si="388"/>
        <v>0</v>
      </c>
      <c r="M312" s="11">
        <f t="shared" si="388"/>
        <v>0</v>
      </c>
      <c r="N312" s="11">
        <f t="shared" si="388"/>
        <v>0</v>
      </c>
      <c r="O312" s="11">
        <f t="shared" si="388"/>
        <v>0</v>
      </c>
      <c r="P312" s="11">
        <f t="shared" si="388"/>
        <v>0</v>
      </c>
      <c r="Q312" s="11">
        <f t="shared" si="388"/>
        <v>0</v>
      </c>
      <c r="R312" s="61">
        <f t="shared" si="388"/>
        <v>0</v>
      </c>
      <c r="S312" s="50"/>
      <c r="T312" s="37"/>
      <c r="U312" s="37"/>
      <c r="V312" s="38"/>
    </row>
    <row r="313" spans="1:22" s="3" customFormat="1" ht="21" customHeight="1" x14ac:dyDescent="0.25">
      <c r="A313" s="123" t="s">
        <v>49</v>
      </c>
      <c r="B313" s="124"/>
      <c r="C313" s="124"/>
      <c r="D313" s="124"/>
      <c r="E313" s="124"/>
      <c r="F313" s="124"/>
      <c r="G313" s="11">
        <f t="shared" ref="G313:R313" si="389">$F$311*G$222</f>
        <v>9335.4249999999993</v>
      </c>
      <c r="H313" s="11">
        <f t="shared" si="389"/>
        <v>1018.4099999999999</v>
      </c>
      <c r="I313" s="11">
        <f t="shared" si="389"/>
        <v>15276.15</v>
      </c>
      <c r="J313" s="11">
        <f t="shared" si="389"/>
        <v>0</v>
      </c>
      <c r="K313" s="11">
        <f t="shared" si="389"/>
        <v>0</v>
      </c>
      <c r="L313" s="11">
        <f t="shared" si="389"/>
        <v>12560.39</v>
      </c>
      <c r="M313" s="11">
        <f t="shared" si="389"/>
        <v>9063.8490000000002</v>
      </c>
      <c r="N313" s="11">
        <f t="shared" si="389"/>
        <v>8486.75</v>
      </c>
      <c r="O313" s="11">
        <f t="shared" si="389"/>
        <v>7094.9229999999989</v>
      </c>
      <c r="P313" s="11">
        <f t="shared" si="389"/>
        <v>0</v>
      </c>
      <c r="Q313" s="11">
        <f t="shared" si="389"/>
        <v>12051.184999999999</v>
      </c>
      <c r="R313" s="11">
        <f t="shared" si="389"/>
        <v>74887.082000000009</v>
      </c>
      <c r="S313" s="50"/>
      <c r="T313" s="37"/>
      <c r="U313" s="37"/>
      <c r="V313" s="38"/>
    </row>
    <row r="314" spans="1:22" s="3" customFormat="1" ht="21" customHeight="1" x14ac:dyDescent="0.25">
      <c r="A314" s="123" t="s">
        <v>76</v>
      </c>
      <c r="B314" s="124"/>
      <c r="C314" s="124"/>
      <c r="D314" s="124"/>
      <c r="E314" s="124"/>
      <c r="F314" s="124"/>
      <c r="G314" s="11">
        <f>$F$311*G$223</f>
        <v>9335.4249999999993</v>
      </c>
      <c r="H314" s="11">
        <f t="shared" ref="H314:R314" si="390">$F$311*H$223</f>
        <v>1018.4099999999999</v>
      </c>
      <c r="I314" s="11">
        <f t="shared" si="390"/>
        <v>15276.15</v>
      </c>
      <c r="J314" s="11">
        <f t="shared" si="390"/>
        <v>0</v>
      </c>
      <c r="K314" s="11">
        <f t="shared" si="390"/>
        <v>0</v>
      </c>
      <c r="L314" s="11">
        <f t="shared" si="390"/>
        <v>12560.39</v>
      </c>
      <c r="M314" s="11">
        <f t="shared" si="390"/>
        <v>9063.8490000000002</v>
      </c>
      <c r="N314" s="11">
        <f t="shared" si="390"/>
        <v>8486.75</v>
      </c>
      <c r="O314" s="11">
        <f t="shared" si="390"/>
        <v>7094.9229999999989</v>
      </c>
      <c r="P314" s="11">
        <f t="shared" si="390"/>
        <v>0</v>
      </c>
      <c r="Q314" s="11">
        <f t="shared" si="390"/>
        <v>17380.863999999998</v>
      </c>
      <c r="R314" s="11">
        <f t="shared" si="390"/>
        <v>80216.760999999999</v>
      </c>
      <c r="S314" s="50"/>
      <c r="T314" s="37"/>
      <c r="U314" s="37"/>
      <c r="V314" s="38"/>
    </row>
    <row r="315" spans="1:22" s="8" customFormat="1" ht="21" customHeight="1" x14ac:dyDescent="0.25">
      <c r="A315" s="125" t="s">
        <v>19</v>
      </c>
      <c r="B315" s="126"/>
      <c r="C315" s="126"/>
      <c r="D315" s="126"/>
      <c r="E315" s="126"/>
      <c r="F315" s="126"/>
      <c r="G315" s="10">
        <f>G313*6+G314*6</f>
        <v>112025.09999999999</v>
      </c>
      <c r="H315" s="10">
        <f t="shared" ref="H315" si="391">H313*6+H314*6</f>
        <v>12220.919999999998</v>
      </c>
      <c r="I315" s="10">
        <f t="shared" ref="I315" si="392">I313*6+I314*6</f>
        <v>183313.8</v>
      </c>
      <c r="J315" s="10">
        <f t="shared" ref="J315" si="393">J313*6+J314*6</f>
        <v>0</v>
      </c>
      <c r="K315" s="10">
        <f t="shared" ref="K315" si="394">K313*6+K314*6</f>
        <v>0</v>
      </c>
      <c r="L315" s="10">
        <f t="shared" ref="L315" si="395">L313*6+L314*6</f>
        <v>150724.68</v>
      </c>
      <c r="M315" s="10">
        <f t="shared" ref="M315" si="396">M313*6+M314*6</f>
        <v>108766.18799999999</v>
      </c>
      <c r="N315" s="10">
        <f t="shared" ref="N315" si="397">N313*6+N314*6</f>
        <v>101841</v>
      </c>
      <c r="O315" s="10">
        <f t="shared" ref="O315" si="398">O313*6+O314*6</f>
        <v>85139.075999999986</v>
      </c>
      <c r="P315" s="10">
        <f t="shared" ref="P315" si="399">P313*6+P314*6</f>
        <v>0</v>
      </c>
      <c r="Q315" s="10">
        <f t="shared" ref="Q315" si="400">Q313*6+Q314*6</f>
        <v>176592.29399999999</v>
      </c>
      <c r="R315" s="10">
        <f t="shared" ref="R315" si="401">R313*6+R314*6</f>
        <v>930623.05800000008</v>
      </c>
      <c r="S315" s="51"/>
      <c r="T315" s="38"/>
      <c r="U315" s="38"/>
      <c r="V315" s="38"/>
    </row>
    <row r="316" spans="1:22" ht="15" customHeight="1" x14ac:dyDescent="0.25">
      <c r="A316" s="127" t="s">
        <v>74</v>
      </c>
      <c r="B316" s="128"/>
      <c r="C316" s="128"/>
      <c r="D316" s="128"/>
      <c r="E316" s="128"/>
      <c r="F316" s="128"/>
      <c r="G316" s="21">
        <f>G315</f>
        <v>112025.09999999999</v>
      </c>
      <c r="H316" s="21">
        <f t="shared" ref="H316:R316" si="402">H315</f>
        <v>12220.919999999998</v>
      </c>
      <c r="I316" s="21">
        <f t="shared" si="402"/>
        <v>183313.8</v>
      </c>
      <c r="J316" s="21">
        <f t="shared" si="402"/>
        <v>0</v>
      </c>
      <c r="K316" s="21">
        <f t="shared" si="402"/>
        <v>0</v>
      </c>
      <c r="L316" s="21">
        <f t="shared" si="402"/>
        <v>150724.68</v>
      </c>
      <c r="M316" s="21">
        <f t="shared" si="402"/>
        <v>108766.18799999999</v>
      </c>
      <c r="N316" s="21">
        <f t="shared" si="402"/>
        <v>101841</v>
      </c>
      <c r="O316" s="21">
        <f t="shared" si="402"/>
        <v>85139.075999999986</v>
      </c>
      <c r="P316" s="21">
        <f t="shared" si="402"/>
        <v>0</v>
      </c>
      <c r="Q316" s="21">
        <f t="shared" si="402"/>
        <v>176592.29399999999</v>
      </c>
      <c r="R316" s="106">
        <f t="shared" si="402"/>
        <v>930623.05800000008</v>
      </c>
      <c r="S316" s="50"/>
      <c r="T316" s="37">
        <f>237418.84+353345.76</f>
        <v>590764.6</v>
      </c>
      <c r="U316" s="37">
        <f>41487.47+71435.28</f>
        <v>112922.75</v>
      </c>
      <c r="V316" s="38"/>
    </row>
    <row r="317" spans="1:22" ht="15.75" customHeight="1" x14ac:dyDescent="0.25">
      <c r="A317" s="127" t="s">
        <v>75</v>
      </c>
      <c r="B317" s="128"/>
      <c r="C317" s="128"/>
      <c r="D317" s="128"/>
      <c r="E317" s="128"/>
      <c r="F317" s="128"/>
      <c r="G317" s="20">
        <f>$R317/$R316*G316</f>
        <v>112025.09999999999</v>
      </c>
      <c r="H317" s="20">
        <f t="shared" ref="H317:I317" si="403">$R317/$R316*H316</f>
        <v>12220.919999999998</v>
      </c>
      <c r="I317" s="20">
        <f t="shared" si="403"/>
        <v>183313.8</v>
      </c>
      <c r="J317" s="20"/>
      <c r="K317" s="20"/>
      <c r="L317" s="20">
        <f t="shared" ref="L317:O317" si="404">$R317/$R316*L316</f>
        <v>150724.68</v>
      </c>
      <c r="M317" s="20">
        <f t="shared" si="404"/>
        <v>108766.18799999999</v>
      </c>
      <c r="N317" s="20">
        <f t="shared" si="404"/>
        <v>101841</v>
      </c>
      <c r="O317" s="20">
        <f t="shared" si="404"/>
        <v>85139.075999999986</v>
      </c>
      <c r="P317" s="20"/>
      <c r="Q317" s="20">
        <f t="shared" ref="Q317" si="405">$R317/$R316*Q316</f>
        <v>176592.29399999999</v>
      </c>
      <c r="R317" s="107">
        <f>R316-R318</f>
        <v>930623.05800000008</v>
      </c>
      <c r="S317" s="50">
        <f>R317/R316*100</f>
        <v>100</v>
      </c>
      <c r="T317" s="37">
        <v>342732.59</v>
      </c>
      <c r="U317" s="37">
        <v>69059.33</v>
      </c>
      <c r="V317" s="38"/>
    </row>
    <row r="318" spans="1:22" ht="18.75" customHeight="1" x14ac:dyDescent="0.25">
      <c r="A318" s="121" t="s">
        <v>18</v>
      </c>
      <c r="B318" s="122"/>
      <c r="C318" s="122"/>
      <c r="D318" s="122"/>
      <c r="E318" s="122"/>
      <c r="F318" s="122"/>
      <c r="G318" s="20">
        <f>$R318/$R316*G316</f>
        <v>0</v>
      </c>
      <c r="H318" s="20">
        <f>$R318/$R316*H316</f>
        <v>0</v>
      </c>
      <c r="I318" s="20">
        <f t="shared" ref="I318" si="406">$R318/$R316*I316</f>
        <v>0</v>
      </c>
      <c r="J318" s="20"/>
      <c r="K318" s="20"/>
      <c r="L318" s="20">
        <f t="shared" ref="L318:N318" si="407">$R318/$R316*L316</f>
        <v>0</v>
      </c>
      <c r="M318" s="20">
        <f t="shared" si="407"/>
        <v>0</v>
      </c>
      <c r="N318" s="20">
        <f t="shared" si="407"/>
        <v>0</v>
      </c>
      <c r="O318" s="20">
        <f>$R318/$R316*O316</f>
        <v>0</v>
      </c>
      <c r="P318" s="20"/>
      <c r="Q318" s="20">
        <f t="shared" ref="Q318" si="408">$R318/$R316*Q316</f>
        <v>0</v>
      </c>
      <c r="R318" s="108"/>
      <c r="S318" s="50"/>
      <c r="T318" s="37">
        <f>T316-T317</f>
        <v>248032.00999999995</v>
      </c>
      <c r="U318" s="37">
        <f>U316-U317</f>
        <v>43863.42</v>
      </c>
      <c r="V318" s="38">
        <f>T318+U318</f>
        <v>291895.42999999993</v>
      </c>
    </row>
    <row r="319" spans="1:22" ht="15" customHeight="1" x14ac:dyDescent="0.25">
      <c r="A319" s="132" t="s">
        <v>17</v>
      </c>
      <c r="B319" s="133"/>
      <c r="C319" s="133"/>
      <c r="D319" s="133"/>
      <c r="E319" s="133"/>
      <c r="F319" s="133"/>
      <c r="G319" s="17"/>
      <c r="H319" s="17"/>
      <c r="I319" s="17"/>
      <c r="J319" s="17"/>
      <c r="K319" s="17"/>
      <c r="L319" s="10">
        <f>L320+L321+L323+L322+L324</f>
        <v>0</v>
      </c>
      <c r="M319" s="17"/>
      <c r="N319" s="17"/>
      <c r="O319" s="17"/>
      <c r="P319" s="17"/>
      <c r="Q319" s="17"/>
      <c r="R319" s="66"/>
      <c r="S319" s="50"/>
      <c r="T319" s="37"/>
      <c r="U319" s="37"/>
      <c r="V319" s="38"/>
    </row>
    <row r="320" spans="1:22" ht="30" customHeight="1" x14ac:dyDescent="0.25">
      <c r="A320" s="118"/>
      <c r="B320" s="119"/>
      <c r="C320" s="119"/>
      <c r="D320" s="119"/>
      <c r="E320" s="119"/>
      <c r="F320" s="120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67"/>
      <c r="S320" s="58"/>
      <c r="T320" s="42"/>
      <c r="U320" s="42"/>
      <c r="V320" s="47"/>
    </row>
    <row r="321" spans="1:22" ht="21" customHeight="1" x14ac:dyDescent="0.25">
      <c r="A321" s="118"/>
      <c r="B321" s="119"/>
      <c r="C321" s="119"/>
      <c r="D321" s="119"/>
      <c r="E321" s="119"/>
      <c r="F321" s="120"/>
      <c r="G321" s="23"/>
      <c r="H321" s="23"/>
      <c r="I321" s="23"/>
      <c r="J321" s="23"/>
      <c r="K321" s="23"/>
      <c r="L321" s="34"/>
      <c r="M321" s="23"/>
      <c r="N321" s="23"/>
      <c r="O321" s="23"/>
      <c r="P321" s="23"/>
      <c r="Q321" s="23"/>
      <c r="R321" s="64"/>
      <c r="S321" s="54"/>
      <c r="T321" s="42"/>
      <c r="U321" s="42"/>
      <c r="V321" s="47"/>
    </row>
    <row r="322" spans="1:22" ht="21" customHeight="1" x14ac:dyDescent="0.25">
      <c r="A322" s="118"/>
      <c r="B322" s="119"/>
      <c r="C322" s="119"/>
      <c r="D322" s="119"/>
      <c r="E322" s="119"/>
      <c r="F322" s="120"/>
      <c r="G322" s="23"/>
      <c r="H322" s="23"/>
      <c r="I322" s="23"/>
      <c r="J322" s="23"/>
      <c r="K322" s="23"/>
      <c r="L322" s="34"/>
      <c r="M322" s="23"/>
      <c r="N322" s="23"/>
      <c r="O322" s="23"/>
      <c r="P322" s="23"/>
      <c r="Q322" s="23"/>
      <c r="R322" s="64"/>
      <c r="S322" s="54"/>
      <c r="T322" s="42"/>
      <c r="U322" s="42"/>
      <c r="V322" s="47"/>
    </row>
    <row r="323" spans="1:22" ht="15" customHeight="1" x14ac:dyDescent="0.25">
      <c r="A323" s="118"/>
      <c r="B323" s="119"/>
      <c r="C323" s="119"/>
      <c r="D323" s="119"/>
      <c r="E323" s="119"/>
      <c r="F323" s="120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67"/>
      <c r="S323" s="58"/>
      <c r="T323" s="42"/>
      <c r="U323" s="42"/>
      <c r="V323" s="47"/>
    </row>
    <row r="324" spans="1:22" ht="15" customHeight="1" x14ac:dyDescent="0.25">
      <c r="A324" s="118"/>
      <c r="B324" s="119"/>
      <c r="C324" s="119"/>
      <c r="D324" s="119"/>
      <c r="E324" s="119"/>
      <c r="F324" s="120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67"/>
      <c r="S324" s="58"/>
      <c r="T324" s="42"/>
      <c r="U324" s="42"/>
      <c r="V324" s="47"/>
    </row>
    <row r="325" spans="1:22" ht="15.75" customHeight="1" thickBot="1" x14ac:dyDescent="0.3">
      <c r="A325" s="136" t="s">
        <v>20</v>
      </c>
      <c r="B325" s="137"/>
      <c r="C325" s="137"/>
      <c r="D325" s="137"/>
      <c r="E325" s="137"/>
      <c r="F325" s="137"/>
      <c r="G325" s="24"/>
      <c r="H325" s="24"/>
      <c r="I325" s="24"/>
      <c r="J325" s="24"/>
      <c r="K325" s="24"/>
      <c r="L325" s="26">
        <f>L317-L319</f>
        <v>150724.68</v>
      </c>
      <c r="M325" s="24"/>
      <c r="N325" s="24"/>
      <c r="O325" s="24"/>
      <c r="P325" s="24"/>
      <c r="Q325" s="24"/>
      <c r="R325" s="68"/>
      <c r="S325" s="59"/>
      <c r="T325" s="39"/>
      <c r="U325" s="39"/>
      <c r="V325" s="45"/>
    </row>
    <row r="326" spans="1:22" ht="33" customHeight="1" x14ac:dyDescent="0.25">
      <c r="A326" s="91" t="s">
        <v>27</v>
      </c>
      <c r="B326" s="100">
        <v>10</v>
      </c>
      <c r="C326" s="12">
        <v>5</v>
      </c>
      <c r="D326" s="13">
        <v>3411.4</v>
      </c>
      <c r="E326" s="13"/>
      <c r="F326" s="13">
        <f t="shared" ref="F326" si="409">D326+E326</f>
        <v>3411.4</v>
      </c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65"/>
      <c r="S326" s="55"/>
      <c r="T326" s="41"/>
      <c r="U326" s="41"/>
      <c r="V326" s="46"/>
    </row>
    <row r="327" spans="1:22" s="3" customFormat="1" ht="21" hidden="1" customHeight="1" x14ac:dyDescent="0.25">
      <c r="A327" s="123" t="s">
        <v>30</v>
      </c>
      <c r="B327" s="124"/>
      <c r="C327" s="124"/>
      <c r="D327" s="124"/>
      <c r="E327" s="124"/>
      <c r="F327" s="124"/>
      <c r="G327" s="11">
        <f t="shared" ref="G327:R327" si="410">$F$326*G$221</f>
        <v>0</v>
      </c>
      <c r="H327" s="11">
        <f t="shared" si="410"/>
        <v>0</v>
      </c>
      <c r="I327" s="11">
        <f t="shared" si="410"/>
        <v>0</v>
      </c>
      <c r="J327" s="11">
        <f t="shared" si="410"/>
        <v>0</v>
      </c>
      <c r="K327" s="11">
        <f t="shared" si="410"/>
        <v>0</v>
      </c>
      <c r="L327" s="11">
        <f t="shared" si="410"/>
        <v>0</v>
      </c>
      <c r="M327" s="11">
        <f t="shared" si="410"/>
        <v>0</v>
      </c>
      <c r="N327" s="11">
        <f t="shared" si="410"/>
        <v>0</v>
      </c>
      <c r="O327" s="11">
        <f t="shared" si="410"/>
        <v>0</v>
      </c>
      <c r="P327" s="11">
        <f t="shared" si="410"/>
        <v>0</v>
      </c>
      <c r="Q327" s="11">
        <f t="shared" si="410"/>
        <v>0</v>
      </c>
      <c r="R327" s="61">
        <f t="shared" si="410"/>
        <v>0</v>
      </c>
      <c r="S327" s="50"/>
      <c r="T327" s="37"/>
      <c r="U327" s="37"/>
      <c r="V327" s="38"/>
    </row>
    <row r="328" spans="1:22" s="3" customFormat="1" ht="21" customHeight="1" x14ac:dyDescent="0.25">
      <c r="A328" s="123" t="s">
        <v>49</v>
      </c>
      <c r="B328" s="124"/>
      <c r="C328" s="124"/>
      <c r="D328" s="124"/>
      <c r="E328" s="124"/>
      <c r="F328" s="124"/>
      <c r="G328" s="11">
        <f t="shared" ref="G328:R328" si="411">$F$326*G$222</f>
        <v>9381.35</v>
      </c>
      <c r="H328" s="11">
        <f t="shared" si="411"/>
        <v>1023.42</v>
      </c>
      <c r="I328" s="11">
        <f t="shared" si="411"/>
        <v>15351.300000000001</v>
      </c>
      <c r="J328" s="11">
        <f t="shared" si="411"/>
        <v>0</v>
      </c>
      <c r="K328" s="11">
        <f t="shared" si="411"/>
        <v>0</v>
      </c>
      <c r="L328" s="11">
        <f t="shared" si="411"/>
        <v>12622.18</v>
      </c>
      <c r="M328" s="11">
        <f t="shared" si="411"/>
        <v>9108.4380000000001</v>
      </c>
      <c r="N328" s="11">
        <f t="shared" si="411"/>
        <v>8528.5</v>
      </c>
      <c r="O328" s="11">
        <f t="shared" si="411"/>
        <v>7129.826</v>
      </c>
      <c r="P328" s="11">
        <f t="shared" si="411"/>
        <v>0</v>
      </c>
      <c r="Q328" s="11">
        <f t="shared" si="411"/>
        <v>12110.47</v>
      </c>
      <c r="R328" s="11">
        <f t="shared" si="411"/>
        <v>75255.484000000011</v>
      </c>
      <c r="S328" s="50"/>
      <c r="T328" s="37"/>
      <c r="U328" s="37"/>
      <c r="V328" s="38"/>
    </row>
    <row r="329" spans="1:22" s="3" customFormat="1" ht="21" customHeight="1" x14ac:dyDescent="0.25">
      <c r="A329" s="123" t="s">
        <v>76</v>
      </c>
      <c r="B329" s="124"/>
      <c r="C329" s="124"/>
      <c r="D329" s="124"/>
      <c r="E329" s="124"/>
      <c r="F329" s="124"/>
      <c r="G329" s="11">
        <f>$F$326*G$223</f>
        <v>9381.35</v>
      </c>
      <c r="H329" s="11">
        <f t="shared" ref="H329:R329" si="412">$F$326*H$223</f>
        <v>1023.42</v>
      </c>
      <c r="I329" s="11">
        <f t="shared" si="412"/>
        <v>15351.300000000001</v>
      </c>
      <c r="J329" s="11">
        <f t="shared" si="412"/>
        <v>0</v>
      </c>
      <c r="K329" s="11">
        <f t="shared" si="412"/>
        <v>0</v>
      </c>
      <c r="L329" s="11">
        <f t="shared" si="412"/>
        <v>12622.18</v>
      </c>
      <c r="M329" s="11">
        <f t="shared" si="412"/>
        <v>9108.4380000000001</v>
      </c>
      <c r="N329" s="11">
        <f t="shared" si="412"/>
        <v>8528.5</v>
      </c>
      <c r="O329" s="11">
        <f t="shared" si="412"/>
        <v>7129.826</v>
      </c>
      <c r="P329" s="11">
        <f t="shared" si="412"/>
        <v>0</v>
      </c>
      <c r="Q329" s="11">
        <f t="shared" si="412"/>
        <v>17466.368000000002</v>
      </c>
      <c r="R329" s="11">
        <f t="shared" si="412"/>
        <v>80611.382000000012</v>
      </c>
      <c r="S329" s="50"/>
      <c r="T329" s="37"/>
      <c r="U329" s="37"/>
      <c r="V329" s="38"/>
    </row>
    <row r="330" spans="1:22" s="8" customFormat="1" ht="21" customHeight="1" x14ac:dyDescent="0.25">
      <c r="A330" s="125" t="s">
        <v>19</v>
      </c>
      <c r="B330" s="126"/>
      <c r="C330" s="126"/>
      <c r="D330" s="126"/>
      <c r="E330" s="126"/>
      <c r="F330" s="126"/>
      <c r="G330" s="10">
        <f>G328*6+G329*6</f>
        <v>112576.20000000001</v>
      </c>
      <c r="H330" s="10">
        <f t="shared" ref="H330" si="413">H328*6+H329*6</f>
        <v>12281.039999999999</v>
      </c>
      <c r="I330" s="10">
        <f t="shared" ref="I330" si="414">I328*6+I329*6</f>
        <v>184215.6</v>
      </c>
      <c r="J330" s="10">
        <f t="shared" ref="J330" si="415">J328*6+J329*6</f>
        <v>0</v>
      </c>
      <c r="K330" s="10">
        <f t="shared" ref="K330" si="416">K328*6+K329*6</f>
        <v>0</v>
      </c>
      <c r="L330" s="10">
        <f t="shared" ref="L330" si="417">L328*6+L329*6</f>
        <v>151466.16</v>
      </c>
      <c r="M330" s="10">
        <f t="shared" ref="M330" si="418">M328*6+M329*6</f>
        <v>109301.25599999999</v>
      </c>
      <c r="N330" s="10">
        <f t="shared" ref="N330" si="419">N328*6+N329*6</f>
        <v>102342</v>
      </c>
      <c r="O330" s="10">
        <f t="shared" ref="O330" si="420">O328*6+O329*6</f>
        <v>85557.911999999997</v>
      </c>
      <c r="P330" s="10">
        <f t="shared" ref="P330" si="421">P328*6+P329*6</f>
        <v>0</v>
      </c>
      <c r="Q330" s="10">
        <f t="shared" ref="Q330" si="422">Q328*6+Q329*6</f>
        <v>177461.02799999999</v>
      </c>
      <c r="R330" s="10">
        <f t="shared" ref="R330" si="423">R328*6+R329*6</f>
        <v>935201.19600000023</v>
      </c>
      <c r="S330" s="51"/>
      <c r="T330" s="38"/>
      <c r="U330" s="38"/>
      <c r="V330" s="38"/>
    </row>
    <row r="331" spans="1:22" ht="15" customHeight="1" x14ac:dyDescent="0.25">
      <c r="A331" s="127" t="s">
        <v>74</v>
      </c>
      <c r="B331" s="128"/>
      <c r="C331" s="128"/>
      <c r="D331" s="128"/>
      <c r="E331" s="128"/>
      <c r="F331" s="128"/>
      <c r="G331" s="21">
        <f>G330</f>
        <v>112576.20000000001</v>
      </c>
      <c r="H331" s="21">
        <f t="shared" ref="H331:R331" si="424">H330</f>
        <v>12281.039999999999</v>
      </c>
      <c r="I331" s="21">
        <f t="shared" si="424"/>
        <v>184215.6</v>
      </c>
      <c r="J331" s="21">
        <f t="shared" si="424"/>
        <v>0</v>
      </c>
      <c r="K331" s="21">
        <f t="shared" si="424"/>
        <v>0</v>
      </c>
      <c r="L331" s="21">
        <f t="shared" si="424"/>
        <v>151466.16</v>
      </c>
      <c r="M331" s="21">
        <f t="shared" si="424"/>
        <v>109301.25599999999</v>
      </c>
      <c r="N331" s="21">
        <f t="shared" si="424"/>
        <v>102342</v>
      </c>
      <c r="O331" s="21">
        <f t="shared" si="424"/>
        <v>85557.911999999997</v>
      </c>
      <c r="P331" s="21">
        <f t="shared" si="424"/>
        <v>0</v>
      </c>
      <c r="Q331" s="21">
        <f t="shared" si="424"/>
        <v>177461.02799999999</v>
      </c>
      <c r="R331" s="106">
        <f t="shared" si="424"/>
        <v>935201.19600000023</v>
      </c>
      <c r="S331" s="49"/>
      <c r="T331" s="37">
        <f>406400.11+359424.96</f>
        <v>765825.07000000007</v>
      </c>
      <c r="U331" s="37">
        <f>58845.02+72664.2</f>
        <v>131509.22</v>
      </c>
      <c r="V331" s="38"/>
    </row>
    <row r="332" spans="1:22" ht="15.75" customHeight="1" x14ac:dyDescent="0.25">
      <c r="A332" s="127" t="s">
        <v>75</v>
      </c>
      <c r="B332" s="128"/>
      <c r="C332" s="128"/>
      <c r="D332" s="128"/>
      <c r="E332" s="128"/>
      <c r="F332" s="128"/>
      <c r="G332" s="21">
        <f>$R332/$R331*G331</f>
        <v>112576.20000000001</v>
      </c>
      <c r="H332" s="21">
        <f t="shared" ref="H332:I332" si="425">$R332/$R331*H331</f>
        <v>12281.039999999999</v>
      </c>
      <c r="I332" s="21">
        <f t="shared" si="425"/>
        <v>184215.6</v>
      </c>
      <c r="J332" s="21"/>
      <c r="K332" s="21"/>
      <c r="L332" s="21">
        <f t="shared" ref="L332:O332" si="426">$R332/$R331*L331</f>
        <v>151466.16</v>
      </c>
      <c r="M332" s="21">
        <f t="shared" si="426"/>
        <v>109301.25599999999</v>
      </c>
      <c r="N332" s="21">
        <f t="shared" si="426"/>
        <v>102342</v>
      </c>
      <c r="O332" s="21">
        <f t="shared" si="426"/>
        <v>85557.911999999997</v>
      </c>
      <c r="P332" s="21"/>
      <c r="Q332" s="21">
        <f t="shared" ref="Q332" si="427">$R332/$R331*Q331</f>
        <v>177461.02799999999</v>
      </c>
      <c r="R332" s="107">
        <f>R331-R333</f>
        <v>935201.19600000023</v>
      </c>
      <c r="S332" s="49">
        <f>R332/R331*100</f>
        <v>100</v>
      </c>
      <c r="T332" s="37">
        <v>344519.81</v>
      </c>
      <c r="U332" s="37">
        <v>69602.7</v>
      </c>
      <c r="V332" s="38"/>
    </row>
    <row r="333" spans="1:22" ht="18.75" customHeight="1" x14ac:dyDescent="0.25">
      <c r="A333" s="121" t="s">
        <v>18</v>
      </c>
      <c r="B333" s="122"/>
      <c r="C333" s="122"/>
      <c r="D333" s="122"/>
      <c r="E333" s="122"/>
      <c r="F333" s="122"/>
      <c r="G333" s="21">
        <f>$R333/$R331*G331</f>
        <v>0</v>
      </c>
      <c r="H333" s="21">
        <f>$R333/$R331*H331</f>
        <v>0</v>
      </c>
      <c r="I333" s="21">
        <f t="shared" ref="I333" si="428">$R333/$R331*I331</f>
        <v>0</v>
      </c>
      <c r="J333" s="21"/>
      <c r="K333" s="21"/>
      <c r="L333" s="21">
        <f t="shared" ref="L333:N333" si="429">$R333/$R331*L331</f>
        <v>0</v>
      </c>
      <c r="M333" s="21">
        <f t="shared" si="429"/>
        <v>0</v>
      </c>
      <c r="N333" s="21">
        <f t="shared" si="429"/>
        <v>0</v>
      </c>
      <c r="O333" s="21">
        <f>$R333/$R331*O331</f>
        <v>0</v>
      </c>
      <c r="P333" s="21"/>
      <c r="Q333" s="21">
        <f t="shared" ref="Q333" si="430">$R333/$R331*Q331</f>
        <v>0</v>
      </c>
      <c r="R333" s="108"/>
      <c r="S333" s="49"/>
      <c r="T333" s="37">
        <f>T331-T332</f>
        <v>421305.26000000007</v>
      </c>
      <c r="U333" s="37">
        <f>U331-U332</f>
        <v>61906.520000000004</v>
      </c>
      <c r="V333" s="38">
        <f>T333+U333</f>
        <v>483211.78000000009</v>
      </c>
    </row>
    <row r="334" spans="1:22" ht="15" customHeight="1" x14ac:dyDescent="0.25">
      <c r="A334" s="132" t="s">
        <v>17</v>
      </c>
      <c r="B334" s="133"/>
      <c r="C334" s="133"/>
      <c r="D334" s="133"/>
      <c r="E334" s="133"/>
      <c r="F334" s="133"/>
      <c r="G334" s="9"/>
      <c r="H334" s="9"/>
      <c r="I334" s="9"/>
      <c r="J334" s="9"/>
      <c r="K334" s="9"/>
      <c r="L334" s="10">
        <f>L335+L336+L337+L338+L339+L340+L341</f>
        <v>78267.28</v>
      </c>
      <c r="M334" s="9"/>
      <c r="N334" s="9"/>
      <c r="O334" s="9"/>
      <c r="P334" s="9"/>
      <c r="Q334" s="9"/>
      <c r="R334" s="62"/>
      <c r="S334" s="49"/>
      <c r="T334" s="37"/>
      <c r="U334" s="37"/>
      <c r="V334" s="38"/>
    </row>
    <row r="335" spans="1:22" ht="21" customHeight="1" x14ac:dyDescent="0.25">
      <c r="A335" s="118" t="s">
        <v>63</v>
      </c>
      <c r="B335" s="119"/>
      <c r="C335" s="119"/>
      <c r="D335" s="119"/>
      <c r="E335" s="119"/>
      <c r="F335" s="120"/>
      <c r="G335" s="23"/>
      <c r="H335" s="23"/>
      <c r="I335" s="23"/>
      <c r="J335" s="23"/>
      <c r="K335" s="23"/>
      <c r="L335" s="117">
        <v>78267.28</v>
      </c>
      <c r="M335" s="23"/>
      <c r="N335" s="23"/>
      <c r="O335" s="23"/>
      <c r="P335" s="23"/>
      <c r="Q335" s="23"/>
      <c r="R335" s="64"/>
      <c r="S335" s="54"/>
      <c r="T335" s="42"/>
      <c r="U335" s="42"/>
      <c r="V335" s="47"/>
    </row>
    <row r="336" spans="1:22" ht="49.5" customHeight="1" x14ac:dyDescent="0.25">
      <c r="A336" s="118"/>
      <c r="B336" s="119"/>
      <c r="C336" s="119"/>
      <c r="D336" s="119"/>
      <c r="E336" s="119"/>
      <c r="F336" s="120"/>
      <c r="G336" s="23"/>
      <c r="H336" s="23"/>
      <c r="I336" s="23"/>
      <c r="J336" s="23"/>
      <c r="K336" s="23"/>
      <c r="L336" s="34"/>
      <c r="M336" s="23"/>
      <c r="N336" s="23"/>
      <c r="O336" s="23"/>
      <c r="P336" s="23"/>
      <c r="Q336" s="23"/>
      <c r="R336" s="64"/>
      <c r="S336" s="54"/>
      <c r="T336" s="42"/>
      <c r="U336" s="42"/>
      <c r="V336" s="47"/>
    </row>
    <row r="337" spans="1:22" ht="21" customHeight="1" x14ac:dyDescent="0.25">
      <c r="A337" s="118"/>
      <c r="B337" s="119"/>
      <c r="C337" s="119"/>
      <c r="D337" s="119"/>
      <c r="E337" s="119"/>
      <c r="F337" s="120"/>
      <c r="G337" s="23"/>
      <c r="H337" s="23"/>
      <c r="I337" s="23"/>
      <c r="J337" s="23"/>
      <c r="K337" s="23"/>
      <c r="L337" s="34"/>
      <c r="M337" s="23"/>
      <c r="N337" s="23"/>
      <c r="O337" s="23"/>
      <c r="P337" s="23"/>
      <c r="Q337" s="23"/>
      <c r="R337" s="64"/>
      <c r="S337" s="54"/>
      <c r="T337" s="42"/>
      <c r="U337" s="42"/>
      <c r="V337" s="47"/>
    </row>
    <row r="338" spans="1:22" ht="21" customHeight="1" x14ac:dyDescent="0.25">
      <c r="A338" s="118"/>
      <c r="B338" s="119"/>
      <c r="C338" s="119"/>
      <c r="D338" s="119"/>
      <c r="E338" s="119"/>
      <c r="F338" s="120"/>
      <c r="G338" s="23"/>
      <c r="H338" s="23"/>
      <c r="I338" s="23"/>
      <c r="J338" s="23"/>
      <c r="K338" s="23"/>
      <c r="L338" s="34"/>
      <c r="M338" s="23"/>
      <c r="N338" s="23"/>
      <c r="O338" s="23"/>
      <c r="P338" s="23"/>
      <c r="Q338" s="23"/>
      <c r="R338" s="64"/>
      <c r="S338" s="54"/>
      <c r="T338" s="42"/>
      <c r="U338" s="42"/>
      <c r="V338" s="47"/>
    </row>
    <row r="339" spans="1:22" ht="21" customHeight="1" x14ac:dyDescent="0.25">
      <c r="A339" s="118"/>
      <c r="B339" s="119"/>
      <c r="C339" s="119"/>
      <c r="D339" s="119"/>
      <c r="E339" s="119"/>
      <c r="F339" s="120"/>
      <c r="G339" s="23"/>
      <c r="H339" s="23"/>
      <c r="I339" s="23"/>
      <c r="J339" s="23"/>
      <c r="K339" s="23"/>
      <c r="L339" s="34"/>
      <c r="M339" s="23"/>
      <c r="N339" s="23"/>
      <c r="O339" s="23"/>
      <c r="P339" s="23"/>
      <c r="Q339" s="23"/>
      <c r="R339" s="64"/>
      <c r="S339" s="54"/>
      <c r="T339" s="42"/>
      <c r="U339" s="42"/>
      <c r="V339" s="47"/>
    </row>
    <row r="340" spans="1:22" ht="27.75" customHeight="1" x14ac:dyDescent="0.25">
      <c r="A340" s="118"/>
      <c r="B340" s="119"/>
      <c r="C340" s="119"/>
      <c r="D340" s="119"/>
      <c r="E340" s="119"/>
      <c r="F340" s="120"/>
      <c r="G340" s="23"/>
      <c r="H340" s="23"/>
      <c r="I340" s="23"/>
      <c r="J340" s="23"/>
      <c r="K340" s="23"/>
      <c r="L340" s="34"/>
      <c r="M340" s="23"/>
      <c r="N340" s="23"/>
      <c r="O340" s="23"/>
      <c r="P340" s="23"/>
      <c r="Q340" s="23"/>
      <c r="R340" s="64"/>
      <c r="S340" s="54"/>
      <c r="T340" s="42"/>
      <c r="U340" s="42"/>
      <c r="V340" s="47"/>
    </row>
    <row r="341" spans="1:22" ht="27.75" customHeight="1" x14ac:dyDescent="0.25">
      <c r="A341" s="118"/>
      <c r="B341" s="119"/>
      <c r="C341" s="119"/>
      <c r="D341" s="119"/>
      <c r="E341" s="119"/>
      <c r="F341" s="120"/>
      <c r="G341" s="23"/>
      <c r="H341" s="23"/>
      <c r="I341" s="23"/>
      <c r="J341" s="23"/>
      <c r="K341" s="23"/>
      <c r="L341" s="34"/>
      <c r="M341" s="23"/>
      <c r="N341" s="23"/>
      <c r="O341" s="23"/>
      <c r="P341" s="23"/>
      <c r="Q341" s="23"/>
      <c r="R341" s="64"/>
      <c r="S341" s="54"/>
      <c r="T341" s="42"/>
      <c r="U341" s="42"/>
      <c r="V341" s="47"/>
    </row>
    <row r="342" spans="1:22" ht="27.75" customHeight="1" x14ac:dyDescent="0.25">
      <c r="A342" s="118"/>
      <c r="B342" s="119"/>
      <c r="C342" s="119"/>
      <c r="D342" s="119"/>
      <c r="E342" s="119"/>
      <c r="F342" s="120"/>
      <c r="G342" s="23"/>
      <c r="H342" s="23"/>
      <c r="I342" s="23"/>
      <c r="J342" s="23"/>
      <c r="K342" s="23"/>
      <c r="L342" s="34"/>
      <c r="M342" s="23"/>
      <c r="N342" s="23"/>
      <c r="O342" s="23"/>
      <c r="P342" s="23"/>
      <c r="Q342" s="23"/>
      <c r="R342" s="64"/>
      <c r="S342" s="54"/>
      <c r="T342" s="42"/>
      <c r="U342" s="42"/>
      <c r="V342" s="47"/>
    </row>
    <row r="343" spans="1:22" ht="15.75" customHeight="1" thickBot="1" x14ac:dyDescent="0.3">
      <c r="A343" s="134" t="s">
        <v>20</v>
      </c>
      <c r="B343" s="135"/>
      <c r="C343" s="135"/>
      <c r="D343" s="135"/>
      <c r="E343" s="135"/>
      <c r="F343" s="135"/>
      <c r="G343" s="23"/>
      <c r="H343" s="23"/>
      <c r="I343" s="23"/>
      <c r="J343" s="23"/>
      <c r="K343" s="23"/>
      <c r="L343" s="28">
        <f>L332-L334</f>
        <v>73198.880000000005</v>
      </c>
      <c r="M343" s="23"/>
      <c r="N343" s="23"/>
      <c r="O343" s="23"/>
      <c r="P343" s="23"/>
      <c r="Q343" s="23"/>
      <c r="R343" s="64"/>
      <c r="S343" s="54"/>
      <c r="T343" s="42"/>
      <c r="U343" s="42"/>
      <c r="V343" s="47"/>
    </row>
    <row r="344" spans="1:22" ht="33" customHeight="1" x14ac:dyDescent="0.25">
      <c r="A344" s="90" t="s">
        <v>27</v>
      </c>
      <c r="B344" s="99">
        <v>11</v>
      </c>
      <c r="C344" s="7">
        <v>5</v>
      </c>
      <c r="D344" s="6">
        <v>3386.1</v>
      </c>
      <c r="E344" s="6"/>
      <c r="F344" s="6">
        <f t="shared" ref="F344" si="431">D344+E344</f>
        <v>3386.1</v>
      </c>
      <c r="G344" s="73"/>
      <c r="H344" s="73"/>
      <c r="I344" s="73"/>
      <c r="J344" s="73"/>
      <c r="K344" s="73"/>
      <c r="L344" s="73"/>
      <c r="M344" s="73"/>
      <c r="N344" s="73"/>
      <c r="O344" s="73"/>
      <c r="P344" s="73"/>
      <c r="Q344" s="73"/>
      <c r="R344" s="27"/>
      <c r="S344" s="48"/>
      <c r="T344" s="36"/>
      <c r="U344" s="36"/>
      <c r="V344" s="40"/>
    </row>
    <row r="345" spans="1:22" s="3" customFormat="1" ht="21" hidden="1" customHeight="1" x14ac:dyDescent="0.25">
      <c r="A345" s="123" t="s">
        <v>30</v>
      </c>
      <c r="B345" s="124"/>
      <c r="C345" s="124"/>
      <c r="D345" s="124"/>
      <c r="E345" s="124"/>
      <c r="F345" s="124"/>
      <c r="G345" s="11">
        <f t="shared" ref="G345:R345" si="432">$F$344*G$221</f>
        <v>0</v>
      </c>
      <c r="H345" s="11">
        <f t="shared" si="432"/>
        <v>0</v>
      </c>
      <c r="I345" s="11">
        <f t="shared" si="432"/>
        <v>0</v>
      </c>
      <c r="J345" s="11">
        <f t="shared" si="432"/>
        <v>0</v>
      </c>
      <c r="K345" s="11">
        <f t="shared" si="432"/>
        <v>0</v>
      </c>
      <c r="L345" s="11">
        <f t="shared" si="432"/>
        <v>0</v>
      </c>
      <c r="M345" s="11">
        <f t="shared" si="432"/>
        <v>0</v>
      </c>
      <c r="N345" s="11">
        <f t="shared" si="432"/>
        <v>0</v>
      </c>
      <c r="O345" s="11">
        <f t="shared" si="432"/>
        <v>0</v>
      </c>
      <c r="P345" s="11">
        <f t="shared" si="432"/>
        <v>0</v>
      </c>
      <c r="Q345" s="11">
        <f t="shared" si="432"/>
        <v>0</v>
      </c>
      <c r="R345" s="61">
        <f t="shared" si="432"/>
        <v>0</v>
      </c>
      <c r="S345" s="50"/>
      <c r="T345" s="37"/>
      <c r="U345" s="37"/>
      <c r="V345" s="38"/>
    </row>
    <row r="346" spans="1:22" s="3" customFormat="1" ht="21" customHeight="1" x14ac:dyDescent="0.25">
      <c r="A346" s="123" t="s">
        <v>49</v>
      </c>
      <c r="B346" s="124"/>
      <c r="C346" s="124"/>
      <c r="D346" s="124"/>
      <c r="E346" s="124"/>
      <c r="F346" s="124"/>
      <c r="G346" s="11">
        <f t="shared" ref="G346:R346" si="433">$F$344*G$222</f>
        <v>9311.7749999999996</v>
      </c>
      <c r="H346" s="11">
        <f t="shared" si="433"/>
        <v>1015.8299999999999</v>
      </c>
      <c r="I346" s="11">
        <f t="shared" si="433"/>
        <v>15237.449999999999</v>
      </c>
      <c r="J346" s="11">
        <f t="shared" si="433"/>
        <v>0</v>
      </c>
      <c r="K346" s="11">
        <f t="shared" si="433"/>
        <v>0</v>
      </c>
      <c r="L346" s="11">
        <f t="shared" si="433"/>
        <v>12528.57</v>
      </c>
      <c r="M346" s="11">
        <f t="shared" si="433"/>
        <v>9040.8869999999988</v>
      </c>
      <c r="N346" s="11">
        <f t="shared" si="433"/>
        <v>8465.25</v>
      </c>
      <c r="O346" s="11">
        <f t="shared" si="433"/>
        <v>7076.9489999999996</v>
      </c>
      <c r="P346" s="11">
        <f t="shared" si="433"/>
        <v>0</v>
      </c>
      <c r="Q346" s="11">
        <f t="shared" si="433"/>
        <v>12020.654999999999</v>
      </c>
      <c r="R346" s="11">
        <f t="shared" si="433"/>
        <v>74697.366000000009</v>
      </c>
      <c r="S346" s="50"/>
      <c r="T346" s="37"/>
      <c r="U346" s="37"/>
      <c r="V346" s="38"/>
    </row>
    <row r="347" spans="1:22" s="3" customFormat="1" ht="21" customHeight="1" x14ac:dyDescent="0.25">
      <c r="A347" s="123" t="s">
        <v>76</v>
      </c>
      <c r="B347" s="124"/>
      <c r="C347" s="124"/>
      <c r="D347" s="124"/>
      <c r="E347" s="124"/>
      <c r="F347" s="124"/>
      <c r="G347" s="11">
        <f>$F$344*G$223</f>
        <v>9311.7749999999996</v>
      </c>
      <c r="H347" s="11">
        <f t="shared" ref="H347:R347" si="434">$F$344*H$223</f>
        <v>1015.8299999999999</v>
      </c>
      <c r="I347" s="11">
        <f t="shared" si="434"/>
        <v>15237.449999999999</v>
      </c>
      <c r="J347" s="11">
        <f t="shared" si="434"/>
        <v>0</v>
      </c>
      <c r="K347" s="11">
        <f t="shared" si="434"/>
        <v>0</v>
      </c>
      <c r="L347" s="11">
        <f t="shared" si="434"/>
        <v>12528.57</v>
      </c>
      <c r="M347" s="11">
        <f t="shared" si="434"/>
        <v>9040.8869999999988</v>
      </c>
      <c r="N347" s="11">
        <f t="shared" si="434"/>
        <v>8465.25</v>
      </c>
      <c r="O347" s="11">
        <f t="shared" si="434"/>
        <v>7076.9489999999996</v>
      </c>
      <c r="P347" s="11">
        <f t="shared" si="434"/>
        <v>0</v>
      </c>
      <c r="Q347" s="11">
        <f t="shared" si="434"/>
        <v>17336.831999999999</v>
      </c>
      <c r="R347" s="11">
        <f t="shared" si="434"/>
        <v>80013.543000000005</v>
      </c>
      <c r="S347" s="50"/>
      <c r="T347" s="37"/>
      <c r="U347" s="37"/>
      <c r="V347" s="38"/>
    </row>
    <row r="348" spans="1:22" s="8" customFormat="1" ht="21" customHeight="1" x14ac:dyDescent="0.25">
      <c r="A348" s="125" t="s">
        <v>19</v>
      </c>
      <c r="B348" s="126"/>
      <c r="C348" s="126"/>
      <c r="D348" s="126"/>
      <c r="E348" s="126"/>
      <c r="F348" s="126"/>
      <c r="G348" s="10">
        <f>G346*6+G347*6</f>
        <v>111741.29999999999</v>
      </c>
      <c r="H348" s="10">
        <f t="shared" ref="H348" si="435">H346*6+H347*6</f>
        <v>12189.96</v>
      </c>
      <c r="I348" s="10">
        <f t="shared" ref="I348" si="436">I346*6+I347*6</f>
        <v>182849.4</v>
      </c>
      <c r="J348" s="10">
        <f t="shared" ref="J348" si="437">J346*6+J347*6</f>
        <v>0</v>
      </c>
      <c r="K348" s="10">
        <f t="shared" ref="K348" si="438">K346*6+K347*6</f>
        <v>0</v>
      </c>
      <c r="L348" s="10">
        <f t="shared" ref="L348" si="439">L346*6+L347*6</f>
        <v>150342.84</v>
      </c>
      <c r="M348" s="10">
        <f t="shared" ref="M348" si="440">M346*6+M347*6</f>
        <v>108490.64399999999</v>
      </c>
      <c r="N348" s="10">
        <f t="shared" ref="N348" si="441">N346*6+N347*6</f>
        <v>101583</v>
      </c>
      <c r="O348" s="10">
        <f t="shared" ref="O348" si="442">O346*6+O347*6</f>
        <v>84923.387999999992</v>
      </c>
      <c r="P348" s="10">
        <f t="shared" ref="P348" si="443">P346*6+P347*6</f>
        <v>0</v>
      </c>
      <c r="Q348" s="10">
        <f t="shared" ref="Q348" si="444">Q346*6+Q347*6</f>
        <v>176144.92199999999</v>
      </c>
      <c r="R348" s="10">
        <f t="shared" ref="R348" si="445">R346*6+R347*6</f>
        <v>928265.45400000014</v>
      </c>
      <c r="S348" s="51"/>
      <c r="T348" s="38"/>
      <c r="U348" s="38"/>
      <c r="V348" s="38"/>
    </row>
    <row r="349" spans="1:22" ht="15" customHeight="1" x14ac:dyDescent="0.25">
      <c r="A349" s="127" t="s">
        <v>74</v>
      </c>
      <c r="B349" s="128"/>
      <c r="C349" s="128"/>
      <c r="D349" s="128"/>
      <c r="E349" s="128"/>
      <c r="F349" s="128"/>
      <c r="G349" s="21">
        <f>G348</f>
        <v>111741.29999999999</v>
      </c>
      <c r="H349" s="21">
        <f t="shared" ref="H349:R349" si="446">H348</f>
        <v>12189.96</v>
      </c>
      <c r="I349" s="21">
        <f t="shared" si="446"/>
        <v>182849.4</v>
      </c>
      <c r="J349" s="21">
        <f t="shared" si="446"/>
        <v>0</v>
      </c>
      <c r="K349" s="21">
        <f t="shared" si="446"/>
        <v>0</v>
      </c>
      <c r="L349" s="21">
        <f t="shared" si="446"/>
        <v>150342.84</v>
      </c>
      <c r="M349" s="21">
        <f t="shared" si="446"/>
        <v>108490.64399999999</v>
      </c>
      <c r="N349" s="21">
        <f t="shared" si="446"/>
        <v>101583</v>
      </c>
      <c r="O349" s="21">
        <f t="shared" si="446"/>
        <v>84923.387999999992</v>
      </c>
      <c r="P349" s="21">
        <f t="shared" si="446"/>
        <v>0</v>
      </c>
      <c r="Q349" s="21">
        <f t="shared" si="446"/>
        <v>176144.92199999999</v>
      </c>
      <c r="R349" s="106">
        <f t="shared" si="446"/>
        <v>928265.45400000014</v>
      </c>
      <c r="S349" s="49"/>
      <c r="T349" s="37">
        <f>249370.45+356738.4</f>
        <v>606108.85000000009</v>
      </c>
      <c r="U349" s="37">
        <f>45852.51+72120.78</f>
        <v>117973.29000000001</v>
      </c>
      <c r="V349" s="38"/>
    </row>
    <row r="350" spans="1:22" ht="15.75" customHeight="1" x14ac:dyDescent="0.25">
      <c r="A350" s="127" t="s">
        <v>75</v>
      </c>
      <c r="B350" s="128"/>
      <c r="C350" s="128"/>
      <c r="D350" s="128"/>
      <c r="E350" s="128"/>
      <c r="F350" s="128"/>
      <c r="G350" s="21">
        <f>$R350/$R349*G349</f>
        <v>111741.29999999999</v>
      </c>
      <c r="H350" s="21">
        <f t="shared" ref="H350:I350" si="447">$R350/$R349*H349</f>
        <v>12189.96</v>
      </c>
      <c r="I350" s="21">
        <f t="shared" si="447"/>
        <v>182849.4</v>
      </c>
      <c r="J350" s="21"/>
      <c r="K350" s="21"/>
      <c r="L350" s="21">
        <f t="shared" ref="L350:O350" si="448">$R350/$R349*L349</f>
        <v>150342.84</v>
      </c>
      <c r="M350" s="21">
        <f t="shared" si="448"/>
        <v>108490.64399999999</v>
      </c>
      <c r="N350" s="21">
        <f t="shared" si="448"/>
        <v>101583</v>
      </c>
      <c r="O350" s="21">
        <f t="shared" si="448"/>
        <v>84923.387999999992</v>
      </c>
      <c r="P350" s="21"/>
      <c r="Q350" s="21">
        <f t="shared" ref="Q350" si="449">$R350/$R349*Q349</f>
        <v>176144.92199999999</v>
      </c>
      <c r="R350" s="107">
        <f>R349-R351</f>
        <v>928265.45400000014</v>
      </c>
      <c r="S350" s="49">
        <f>R350/R349*100</f>
        <v>100</v>
      </c>
      <c r="T350" s="37">
        <v>351500.78</v>
      </c>
      <c r="U350" s="37">
        <v>69443.649999999994</v>
      </c>
      <c r="V350" s="38"/>
    </row>
    <row r="351" spans="1:22" ht="18.75" customHeight="1" x14ac:dyDescent="0.25">
      <c r="A351" s="121" t="s">
        <v>18</v>
      </c>
      <c r="B351" s="122"/>
      <c r="C351" s="122"/>
      <c r="D351" s="122"/>
      <c r="E351" s="122"/>
      <c r="F351" s="122"/>
      <c r="G351" s="21">
        <f>$R351/$R349*G349</f>
        <v>0</v>
      </c>
      <c r="H351" s="21">
        <f>$R351/$R349*H349</f>
        <v>0</v>
      </c>
      <c r="I351" s="21">
        <f t="shared" ref="I351" si="450">$R351/$R349*I349</f>
        <v>0</v>
      </c>
      <c r="J351" s="21"/>
      <c r="K351" s="21"/>
      <c r="L351" s="21">
        <f t="shared" ref="L351:N351" si="451">$R351/$R349*L349</f>
        <v>0</v>
      </c>
      <c r="M351" s="21">
        <f t="shared" si="451"/>
        <v>0</v>
      </c>
      <c r="N351" s="21">
        <f t="shared" si="451"/>
        <v>0</v>
      </c>
      <c r="O351" s="21">
        <f>$R351/$R349*O349</f>
        <v>0</v>
      </c>
      <c r="P351" s="21"/>
      <c r="Q351" s="21">
        <f t="shared" ref="Q351" si="452">$R351/$R349*Q349</f>
        <v>0</v>
      </c>
      <c r="R351" s="108"/>
      <c r="S351" s="49"/>
      <c r="T351" s="37">
        <f>T349-T350</f>
        <v>254608.07000000007</v>
      </c>
      <c r="U351" s="37">
        <f>U349-U350</f>
        <v>48529.640000000014</v>
      </c>
      <c r="V351" s="38">
        <f>T351+U351</f>
        <v>303137.71000000008</v>
      </c>
    </row>
    <row r="352" spans="1:22" ht="15" customHeight="1" x14ac:dyDescent="0.25">
      <c r="A352" s="132" t="s">
        <v>17</v>
      </c>
      <c r="B352" s="133"/>
      <c r="C352" s="133"/>
      <c r="D352" s="133"/>
      <c r="E352" s="133"/>
      <c r="F352" s="133"/>
      <c r="G352" s="9"/>
      <c r="H352" s="9"/>
      <c r="I352" s="9"/>
      <c r="J352" s="9"/>
      <c r="K352" s="9"/>
      <c r="L352" s="10">
        <f>L353+L354+L355+L356+L357+L358+L359+L360</f>
        <v>163411.35999999999</v>
      </c>
      <c r="M352" s="9"/>
      <c r="N352" s="9"/>
      <c r="O352" s="9"/>
      <c r="P352" s="9"/>
      <c r="Q352" s="9"/>
      <c r="R352" s="62"/>
      <c r="S352" s="49"/>
      <c r="T352" s="37"/>
      <c r="U352" s="37"/>
      <c r="V352" s="38"/>
    </row>
    <row r="353" spans="1:22" ht="30" customHeight="1" x14ac:dyDescent="0.25">
      <c r="A353" s="118" t="s">
        <v>58</v>
      </c>
      <c r="B353" s="119"/>
      <c r="C353" s="119"/>
      <c r="D353" s="119"/>
      <c r="E353" s="119"/>
      <c r="F353" s="120"/>
      <c r="G353" s="23"/>
      <c r="H353" s="23"/>
      <c r="I353" s="23"/>
      <c r="J353" s="23"/>
      <c r="K353" s="23"/>
      <c r="L353" s="112">
        <v>26526</v>
      </c>
      <c r="M353" s="23"/>
      <c r="N353" s="23"/>
      <c r="O353" s="23"/>
      <c r="P353" s="23"/>
      <c r="Q353" s="23"/>
      <c r="R353" s="64"/>
      <c r="S353" s="54"/>
      <c r="T353" s="42"/>
      <c r="U353" s="42"/>
      <c r="V353" s="47"/>
    </row>
    <row r="354" spans="1:22" ht="23.25" customHeight="1" x14ac:dyDescent="0.25">
      <c r="A354" s="118" t="s">
        <v>64</v>
      </c>
      <c r="B354" s="119"/>
      <c r="C354" s="119"/>
      <c r="D354" s="119"/>
      <c r="E354" s="119"/>
      <c r="F354" s="120"/>
      <c r="G354" s="23"/>
      <c r="H354" s="23"/>
      <c r="I354" s="23"/>
      <c r="J354" s="23"/>
      <c r="K354" s="23"/>
      <c r="L354" s="117">
        <f>68442.68*2</f>
        <v>136885.35999999999</v>
      </c>
      <c r="M354" s="23"/>
      <c r="N354" s="23"/>
      <c r="O354" s="23"/>
      <c r="P354" s="23"/>
      <c r="Q354" s="23"/>
      <c r="R354" s="64"/>
      <c r="S354" s="54"/>
      <c r="T354" s="42"/>
      <c r="U354" s="42"/>
      <c r="V354" s="47"/>
    </row>
    <row r="355" spans="1:22" ht="49.5" customHeight="1" x14ac:dyDescent="0.25">
      <c r="A355" s="118"/>
      <c r="B355" s="119"/>
      <c r="C355" s="119"/>
      <c r="D355" s="119"/>
      <c r="E355" s="119"/>
      <c r="F355" s="120"/>
      <c r="G355" s="23"/>
      <c r="H355" s="23"/>
      <c r="I355" s="23"/>
      <c r="J355" s="23"/>
      <c r="K355" s="23"/>
      <c r="L355" s="34"/>
      <c r="M355" s="23"/>
      <c r="N355" s="23"/>
      <c r="O355" s="23"/>
      <c r="P355" s="23"/>
      <c r="Q355" s="23"/>
      <c r="R355" s="64"/>
      <c r="S355" s="54"/>
      <c r="T355" s="42"/>
      <c r="U355" s="42"/>
      <c r="V355" s="47"/>
    </row>
    <row r="356" spans="1:22" ht="21" customHeight="1" x14ac:dyDescent="0.25">
      <c r="A356" s="118"/>
      <c r="B356" s="119"/>
      <c r="C356" s="119"/>
      <c r="D356" s="119"/>
      <c r="E356" s="119"/>
      <c r="F356" s="120"/>
      <c r="G356" s="23"/>
      <c r="H356" s="23"/>
      <c r="I356" s="23"/>
      <c r="J356" s="23"/>
      <c r="K356" s="23"/>
      <c r="L356" s="34"/>
      <c r="M356" s="23"/>
      <c r="N356" s="23"/>
      <c r="O356" s="23"/>
      <c r="P356" s="23"/>
      <c r="Q356" s="23"/>
      <c r="R356" s="64"/>
      <c r="S356" s="54"/>
      <c r="T356" s="42"/>
      <c r="U356" s="42"/>
      <c r="V356" s="47"/>
    </row>
    <row r="357" spans="1:22" ht="21" customHeight="1" x14ac:dyDescent="0.25">
      <c r="A357" s="118"/>
      <c r="B357" s="119"/>
      <c r="C357" s="119"/>
      <c r="D357" s="119"/>
      <c r="E357" s="119"/>
      <c r="F357" s="120"/>
      <c r="G357" s="23"/>
      <c r="H357" s="23"/>
      <c r="I357" s="23"/>
      <c r="J357" s="23"/>
      <c r="K357" s="23"/>
      <c r="L357" s="34"/>
      <c r="M357" s="23"/>
      <c r="N357" s="23"/>
      <c r="O357" s="23"/>
      <c r="P357" s="23"/>
      <c r="Q357" s="23"/>
      <c r="R357" s="64"/>
      <c r="S357" s="54"/>
      <c r="T357" s="42"/>
      <c r="U357" s="42"/>
      <c r="V357" s="47"/>
    </row>
    <row r="358" spans="1:22" ht="15" customHeight="1" x14ac:dyDescent="0.25">
      <c r="A358" s="118"/>
      <c r="B358" s="119"/>
      <c r="C358" s="119"/>
      <c r="D358" s="119"/>
      <c r="E358" s="119"/>
      <c r="F358" s="120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64"/>
      <c r="S358" s="54"/>
      <c r="T358" s="42"/>
      <c r="U358" s="42"/>
      <c r="V358" s="47"/>
    </row>
    <row r="359" spans="1:22" ht="15" customHeight="1" x14ac:dyDescent="0.25">
      <c r="A359" s="118"/>
      <c r="B359" s="119"/>
      <c r="C359" s="119"/>
      <c r="D359" s="119"/>
      <c r="E359" s="119"/>
      <c r="F359" s="120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64"/>
      <c r="S359" s="54"/>
      <c r="T359" s="42"/>
      <c r="U359" s="42"/>
      <c r="V359" s="47"/>
    </row>
    <row r="360" spans="1:22" ht="15" customHeight="1" x14ac:dyDescent="0.25">
      <c r="A360" s="118"/>
      <c r="B360" s="119"/>
      <c r="C360" s="119"/>
      <c r="D360" s="119"/>
      <c r="E360" s="119"/>
      <c r="F360" s="120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64"/>
      <c r="S360" s="54"/>
      <c r="T360" s="42"/>
      <c r="U360" s="42"/>
      <c r="V360" s="47"/>
    </row>
    <row r="361" spans="1:22" ht="15.75" customHeight="1" thickBot="1" x14ac:dyDescent="0.3">
      <c r="A361" s="136" t="s">
        <v>20</v>
      </c>
      <c r="B361" s="137"/>
      <c r="C361" s="137"/>
      <c r="D361" s="137"/>
      <c r="E361" s="137"/>
      <c r="F361" s="137"/>
      <c r="G361" s="14"/>
      <c r="H361" s="14"/>
      <c r="I361" s="14"/>
      <c r="J361" s="14"/>
      <c r="K361" s="14"/>
      <c r="L361" s="26">
        <f>L350-L352</f>
        <v>-13068.51999999999</v>
      </c>
      <c r="M361" s="14"/>
      <c r="N361" s="14"/>
      <c r="O361" s="14"/>
      <c r="P361" s="14"/>
      <c r="Q361" s="14"/>
      <c r="R361" s="63"/>
      <c r="S361" s="52"/>
      <c r="T361" s="39"/>
      <c r="U361" s="39"/>
      <c r="V361" s="45"/>
    </row>
    <row r="362" spans="1:22" ht="33" customHeight="1" x14ac:dyDescent="0.25">
      <c r="A362" s="91" t="s">
        <v>27</v>
      </c>
      <c r="B362" s="100">
        <v>12</v>
      </c>
      <c r="C362" s="12">
        <v>5</v>
      </c>
      <c r="D362" s="13">
        <v>4540.3999999999996</v>
      </c>
      <c r="E362" s="13"/>
      <c r="F362" s="13">
        <f t="shared" ref="F362" si="453">D362+E362</f>
        <v>4540.3999999999996</v>
      </c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65"/>
      <c r="S362" s="55"/>
      <c r="T362" s="41"/>
      <c r="U362" s="41"/>
      <c r="V362" s="46"/>
    </row>
    <row r="363" spans="1:22" s="3" customFormat="1" ht="21" hidden="1" customHeight="1" x14ac:dyDescent="0.25">
      <c r="A363" s="123" t="s">
        <v>30</v>
      </c>
      <c r="B363" s="124"/>
      <c r="C363" s="124"/>
      <c r="D363" s="124"/>
      <c r="E363" s="124"/>
      <c r="F363" s="124"/>
      <c r="G363" s="11">
        <f t="shared" ref="G363:R363" si="454">$F$362*G$221</f>
        <v>0</v>
      </c>
      <c r="H363" s="11">
        <f t="shared" si="454"/>
        <v>0</v>
      </c>
      <c r="I363" s="11">
        <f t="shared" si="454"/>
        <v>0</v>
      </c>
      <c r="J363" s="11">
        <f t="shared" si="454"/>
        <v>0</v>
      </c>
      <c r="K363" s="11">
        <f t="shared" si="454"/>
        <v>0</v>
      </c>
      <c r="L363" s="11">
        <f t="shared" si="454"/>
        <v>0</v>
      </c>
      <c r="M363" s="11">
        <f t="shared" si="454"/>
        <v>0</v>
      </c>
      <c r="N363" s="11">
        <f t="shared" si="454"/>
        <v>0</v>
      </c>
      <c r="O363" s="11">
        <f t="shared" si="454"/>
        <v>0</v>
      </c>
      <c r="P363" s="11">
        <f t="shared" si="454"/>
        <v>0</v>
      </c>
      <c r="Q363" s="11">
        <f t="shared" si="454"/>
        <v>0</v>
      </c>
      <c r="R363" s="61">
        <f t="shared" si="454"/>
        <v>0</v>
      </c>
      <c r="S363" s="50"/>
      <c r="T363" s="37"/>
      <c r="U363" s="37"/>
      <c r="V363" s="38"/>
    </row>
    <row r="364" spans="1:22" s="3" customFormat="1" ht="21" customHeight="1" x14ac:dyDescent="0.25">
      <c r="A364" s="123" t="s">
        <v>49</v>
      </c>
      <c r="B364" s="124"/>
      <c r="C364" s="124"/>
      <c r="D364" s="124"/>
      <c r="E364" s="124"/>
      <c r="F364" s="124"/>
      <c r="G364" s="11">
        <f t="shared" ref="G364:R364" si="455">$F$362*G$222</f>
        <v>12486.099999999999</v>
      </c>
      <c r="H364" s="11">
        <f t="shared" si="455"/>
        <v>1362.12</v>
      </c>
      <c r="I364" s="11">
        <f t="shared" si="455"/>
        <v>20431.8</v>
      </c>
      <c r="J364" s="11">
        <f t="shared" si="455"/>
        <v>0</v>
      </c>
      <c r="K364" s="11">
        <f t="shared" si="455"/>
        <v>0</v>
      </c>
      <c r="L364" s="11">
        <f t="shared" si="455"/>
        <v>16799.48</v>
      </c>
      <c r="M364" s="11">
        <f t="shared" si="455"/>
        <v>12122.867999999999</v>
      </c>
      <c r="N364" s="11">
        <f t="shared" si="455"/>
        <v>11351</v>
      </c>
      <c r="O364" s="11">
        <f t="shared" si="455"/>
        <v>9489.4359999999979</v>
      </c>
      <c r="P364" s="11">
        <f t="shared" si="455"/>
        <v>0</v>
      </c>
      <c r="Q364" s="11">
        <f t="shared" si="455"/>
        <v>16118.419999999998</v>
      </c>
      <c r="R364" s="11">
        <f t="shared" si="455"/>
        <v>100161.224</v>
      </c>
      <c r="S364" s="50"/>
      <c r="T364" s="37"/>
      <c r="U364" s="37"/>
      <c r="V364" s="38"/>
    </row>
    <row r="365" spans="1:22" s="3" customFormat="1" ht="21" customHeight="1" x14ac:dyDescent="0.25">
      <c r="A365" s="123" t="s">
        <v>76</v>
      </c>
      <c r="B365" s="124"/>
      <c r="C365" s="124"/>
      <c r="D365" s="124"/>
      <c r="E365" s="124"/>
      <c r="F365" s="124"/>
      <c r="G365" s="11">
        <f>$F$362*G$223</f>
        <v>12486.099999999999</v>
      </c>
      <c r="H365" s="11">
        <f t="shared" ref="H365:R365" si="456">$F$362*H$223</f>
        <v>1362.12</v>
      </c>
      <c r="I365" s="11">
        <f t="shared" si="456"/>
        <v>20431.8</v>
      </c>
      <c r="J365" s="11">
        <f t="shared" si="456"/>
        <v>0</v>
      </c>
      <c r="K365" s="11">
        <f t="shared" si="456"/>
        <v>0</v>
      </c>
      <c r="L365" s="11">
        <f t="shared" si="456"/>
        <v>16799.48</v>
      </c>
      <c r="M365" s="11">
        <f t="shared" si="456"/>
        <v>12122.867999999999</v>
      </c>
      <c r="N365" s="11">
        <f t="shared" si="456"/>
        <v>11351</v>
      </c>
      <c r="O365" s="11">
        <f t="shared" si="456"/>
        <v>9489.4359999999979</v>
      </c>
      <c r="P365" s="11">
        <f t="shared" si="456"/>
        <v>0</v>
      </c>
      <c r="Q365" s="11">
        <f t="shared" si="456"/>
        <v>23246.847999999998</v>
      </c>
      <c r="R365" s="11">
        <f t="shared" si="456"/>
        <v>107289.652</v>
      </c>
      <c r="S365" s="50"/>
      <c r="T365" s="37"/>
      <c r="U365" s="37"/>
      <c r="V365" s="38"/>
    </row>
    <row r="366" spans="1:22" s="8" customFormat="1" ht="21" customHeight="1" x14ac:dyDescent="0.25">
      <c r="A366" s="125" t="s">
        <v>19</v>
      </c>
      <c r="B366" s="126"/>
      <c r="C366" s="126"/>
      <c r="D366" s="126"/>
      <c r="E366" s="126"/>
      <c r="F366" s="126"/>
      <c r="G366" s="10">
        <f>G364*6+G365*6</f>
        <v>149833.19999999998</v>
      </c>
      <c r="H366" s="10">
        <f t="shared" ref="H366" si="457">H364*6+H365*6</f>
        <v>16345.439999999999</v>
      </c>
      <c r="I366" s="10">
        <f t="shared" ref="I366" si="458">I364*6+I365*6</f>
        <v>245181.59999999998</v>
      </c>
      <c r="J366" s="10">
        <f t="shared" ref="J366" si="459">J364*6+J365*6</f>
        <v>0</v>
      </c>
      <c r="K366" s="10">
        <f t="shared" ref="K366" si="460">K364*6+K365*6</f>
        <v>0</v>
      </c>
      <c r="L366" s="10">
        <f t="shared" ref="L366" si="461">L364*6+L365*6</f>
        <v>201593.76</v>
      </c>
      <c r="M366" s="10">
        <f t="shared" ref="M366" si="462">M364*6+M365*6</f>
        <v>145474.41599999997</v>
      </c>
      <c r="N366" s="10">
        <f t="shared" ref="N366" si="463">N364*6+N365*6</f>
        <v>136212</v>
      </c>
      <c r="O366" s="10">
        <f t="shared" ref="O366" si="464">O364*6+O365*6</f>
        <v>113873.23199999997</v>
      </c>
      <c r="P366" s="10">
        <f t="shared" ref="P366" si="465">P364*6+P365*6</f>
        <v>0</v>
      </c>
      <c r="Q366" s="10">
        <f t="shared" ref="Q366" si="466">Q364*6+Q365*6</f>
        <v>236191.60799999998</v>
      </c>
      <c r="R366" s="10">
        <f t="shared" ref="R366" si="467">R364*6+R365*6</f>
        <v>1244705.2560000001</v>
      </c>
      <c r="S366" s="51"/>
      <c r="T366" s="38"/>
      <c r="U366" s="38"/>
      <c r="V366" s="38"/>
    </row>
    <row r="367" spans="1:22" ht="15" customHeight="1" x14ac:dyDescent="0.25">
      <c r="A367" s="127" t="s">
        <v>74</v>
      </c>
      <c r="B367" s="128"/>
      <c r="C367" s="128"/>
      <c r="D367" s="128"/>
      <c r="E367" s="128"/>
      <c r="F367" s="128"/>
      <c r="G367" s="21">
        <f>G366</f>
        <v>149833.19999999998</v>
      </c>
      <c r="H367" s="21">
        <f t="shared" ref="H367:R367" si="468">H366</f>
        <v>16345.439999999999</v>
      </c>
      <c r="I367" s="21">
        <f t="shared" si="468"/>
        <v>245181.59999999998</v>
      </c>
      <c r="J367" s="21">
        <f t="shared" si="468"/>
        <v>0</v>
      </c>
      <c r="K367" s="21">
        <f t="shared" si="468"/>
        <v>0</v>
      </c>
      <c r="L367" s="21">
        <f t="shared" si="468"/>
        <v>201593.76</v>
      </c>
      <c r="M367" s="21">
        <f t="shared" si="468"/>
        <v>145474.41599999997</v>
      </c>
      <c r="N367" s="21">
        <f t="shared" si="468"/>
        <v>136212</v>
      </c>
      <c r="O367" s="21">
        <f t="shared" si="468"/>
        <v>113873.23199999997</v>
      </c>
      <c r="P367" s="21">
        <f t="shared" si="468"/>
        <v>0</v>
      </c>
      <c r="Q367" s="21">
        <f t="shared" si="468"/>
        <v>236191.60799999998</v>
      </c>
      <c r="R367" s="106">
        <f t="shared" si="468"/>
        <v>1244705.2560000001</v>
      </c>
      <c r="S367" s="49"/>
      <c r="T367" s="37">
        <f>153562.22+478377.66</f>
        <v>631939.88</v>
      </c>
      <c r="U367" s="37">
        <f>31047.37+96712.32</f>
        <v>127759.69</v>
      </c>
      <c r="V367" s="38"/>
    </row>
    <row r="368" spans="1:22" ht="15.75" customHeight="1" x14ac:dyDescent="0.25">
      <c r="A368" s="127" t="s">
        <v>75</v>
      </c>
      <c r="B368" s="128"/>
      <c r="C368" s="128"/>
      <c r="D368" s="128"/>
      <c r="E368" s="128"/>
      <c r="F368" s="128"/>
      <c r="G368" s="21">
        <f>$R368/$R367*G367</f>
        <v>149833.19999999998</v>
      </c>
      <c r="H368" s="21">
        <f t="shared" ref="H368:I368" si="469">$R368/$R367*H367</f>
        <v>16345.439999999999</v>
      </c>
      <c r="I368" s="21">
        <f t="shared" si="469"/>
        <v>245181.59999999998</v>
      </c>
      <c r="J368" s="21"/>
      <c r="K368" s="21"/>
      <c r="L368" s="21">
        <f t="shared" ref="L368:O368" si="470">$R368/$R367*L367</f>
        <v>201593.76</v>
      </c>
      <c r="M368" s="21">
        <f t="shared" si="470"/>
        <v>145474.41599999997</v>
      </c>
      <c r="N368" s="21">
        <f t="shared" si="470"/>
        <v>136212</v>
      </c>
      <c r="O368" s="21">
        <f t="shared" si="470"/>
        <v>113873.23199999997</v>
      </c>
      <c r="P368" s="21"/>
      <c r="Q368" s="21">
        <f t="shared" ref="Q368" si="471">$R368/$R367*Q367</f>
        <v>236191.60799999998</v>
      </c>
      <c r="R368" s="107">
        <f>R367-R369</f>
        <v>1244705.2560000001</v>
      </c>
      <c r="S368" s="49">
        <f>R368/R367*100</f>
        <v>100</v>
      </c>
      <c r="T368" s="37">
        <v>471435.86</v>
      </c>
      <c r="U368" s="37">
        <v>95308.82</v>
      </c>
      <c r="V368" s="38"/>
    </row>
    <row r="369" spans="1:22" ht="18.75" customHeight="1" x14ac:dyDescent="0.25">
      <c r="A369" s="121" t="s">
        <v>18</v>
      </c>
      <c r="B369" s="122"/>
      <c r="C369" s="122"/>
      <c r="D369" s="122"/>
      <c r="E369" s="122"/>
      <c r="F369" s="122"/>
      <c r="G369" s="21">
        <f>$R369/$R367*G367</f>
        <v>0</v>
      </c>
      <c r="H369" s="21">
        <f>$R369/$R367*H367</f>
        <v>0</v>
      </c>
      <c r="I369" s="21">
        <f t="shared" ref="I369" si="472">$R369/$R367*I367</f>
        <v>0</v>
      </c>
      <c r="J369" s="21"/>
      <c r="K369" s="21"/>
      <c r="L369" s="21">
        <f t="shared" ref="L369:N369" si="473">$R369/$R367*L367</f>
        <v>0</v>
      </c>
      <c r="M369" s="21">
        <f t="shared" si="473"/>
        <v>0</v>
      </c>
      <c r="N369" s="21">
        <f t="shared" si="473"/>
        <v>0</v>
      </c>
      <c r="O369" s="21">
        <f>$R369/$R367*O367</f>
        <v>0</v>
      </c>
      <c r="P369" s="21"/>
      <c r="Q369" s="21">
        <f t="shared" ref="Q369" si="474">$R369/$R367*Q367</f>
        <v>0</v>
      </c>
      <c r="R369" s="108"/>
      <c r="S369" s="49"/>
      <c r="T369" s="37">
        <f>T367-T368</f>
        <v>160504.02000000002</v>
      </c>
      <c r="U369" s="37">
        <f>U367-U368</f>
        <v>32450.869999999995</v>
      </c>
      <c r="V369" s="38">
        <f>T369+U369</f>
        <v>192954.89</v>
      </c>
    </row>
    <row r="370" spans="1:22" ht="15" customHeight="1" x14ac:dyDescent="0.25">
      <c r="A370" s="132" t="s">
        <v>17</v>
      </c>
      <c r="B370" s="133"/>
      <c r="C370" s="133"/>
      <c r="D370" s="133"/>
      <c r="E370" s="133"/>
      <c r="F370" s="133"/>
      <c r="G370" s="9"/>
      <c r="H370" s="9"/>
      <c r="I370" s="9"/>
      <c r="J370" s="9"/>
      <c r="K370" s="9"/>
      <c r="L370" s="10">
        <f>L371+L372+L373+L374+L375+L376+L377+L378+L379+L380+L381</f>
        <v>6748.87</v>
      </c>
      <c r="M370" s="9"/>
      <c r="N370" s="9"/>
      <c r="O370" s="9"/>
      <c r="P370" s="9"/>
      <c r="Q370" s="9"/>
      <c r="R370" s="62"/>
      <c r="S370" s="49"/>
      <c r="T370" s="37"/>
      <c r="U370" s="37"/>
      <c r="V370" s="38"/>
    </row>
    <row r="371" spans="1:22" ht="30.75" customHeight="1" x14ac:dyDescent="0.25">
      <c r="A371" s="118" t="s">
        <v>80</v>
      </c>
      <c r="B371" s="119"/>
      <c r="C371" s="119"/>
      <c r="D371" s="119"/>
      <c r="E371" s="119"/>
      <c r="F371" s="120"/>
      <c r="G371" s="23"/>
      <c r="H371" s="23"/>
      <c r="I371" s="23"/>
      <c r="J371" s="23"/>
      <c r="K371" s="23"/>
      <c r="L371" s="112">
        <v>6748.87</v>
      </c>
      <c r="M371" s="23"/>
      <c r="N371" s="23"/>
      <c r="O371" s="23"/>
      <c r="P371" s="23"/>
      <c r="Q371" s="23"/>
      <c r="R371" s="64"/>
      <c r="S371" s="54"/>
      <c r="T371" s="42"/>
      <c r="U371" s="42"/>
      <c r="V371" s="47"/>
    </row>
    <row r="372" spans="1:22" ht="49.5" customHeight="1" x14ac:dyDescent="0.25">
      <c r="A372" s="118"/>
      <c r="B372" s="119"/>
      <c r="C372" s="119"/>
      <c r="D372" s="119"/>
      <c r="E372" s="119"/>
      <c r="F372" s="120"/>
      <c r="G372" s="23"/>
      <c r="H372" s="23"/>
      <c r="I372" s="23"/>
      <c r="J372" s="23"/>
      <c r="K372" s="23"/>
      <c r="L372" s="34"/>
      <c r="M372" s="23"/>
      <c r="N372" s="23"/>
      <c r="O372" s="23"/>
      <c r="P372" s="23"/>
      <c r="Q372" s="23"/>
      <c r="R372" s="64"/>
      <c r="S372" s="54"/>
      <c r="T372" s="42"/>
      <c r="U372" s="42"/>
      <c r="V372" s="47"/>
    </row>
    <row r="373" spans="1:22" ht="21" customHeight="1" x14ac:dyDescent="0.25">
      <c r="A373" s="118"/>
      <c r="B373" s="119"/>
      <c r="C373" s="119"/>
      <c r="D373" s="119"/>
      <c r="E373" s="119"/>
      <c r="F373" s="120"/>
      <c r="G373" s="23"/>
      <c r="H373" s="23"/>
      <c r="I373" s="23"/>
      <c r="J373" s="23"/>
      <c r="K373" s="23"/>
      <c r="L373" s="34"/>
      <c r="M373" s="23"/>
      <c r="N373" s="23"/>
      <c r="O373" s="23"/>
      <c r="P373" s="23"/>
      <c r="Q373" s="23"/>
      <c r="R373" s="64"/>
      <c r="S373" s="54"/>
      <c r="T373" s="42"/>
      <c r="U373" s="42"/>
      <c r="V373" s="47"/>
    </row>
    <row r="374" spans="1:22" ht="21" customHeight="1" x14ac:dyDescent="0.25">
      <c r="A374" s="118"/>
      <c r="B374" s="119"/>
      <c r="C374" s="119"/>
      <c r="D374" s="119"/>
      <c r="E374" s="119"/>
      <c r="F374" s="120"/>
      <c r="G374" s="23"/>
      <c r="H374" s="23"/>
      <c r="I374" s="23"/>
      <c r="J374" s="23"/>
      <c r="K374" s="23"/>
      <c r="L374" s="34"/>
      <c r="M374" s="23"/>
      <c r="N374" s="23"/>
      <c r="O374" s="23"/>
      <c r="P374" s="23"/>
      <c r="Q374" s="23"/>
      <c r="R374" s="64"/>
      <c r="S374" s="54"/>
      <c r="T374" s="42"/>
      <c r="U374" s="42"/>
      <c r="V374" s="47"/>
    </row>
    <row r="375" spans="1:22" ht="21" customHeight="1" x14ac:dyDescent="0.25">
      <c r="A375" s="118"/>
      <c r="B375" s="119"/>
      <c r="C375" s="119"/>
      <c r="D375" s="119"/>
      <c r="E375" s="119"/>
      <c r="F375" s="120"/>
      <c r="G375" s="23"/>
      <c r="H375" s="23"/>
      <c r="I375" s="23"/>
      <c r="J375" s="23"/>
      <c r="K375" s="23"/>
      <c r="L375" s="34"/>
      <c r="M375" s="23"/>
      <c r="N375" s="23"/>
      <c r="O375" s="23"/>
      <c r="P375" s="23"/>
      <c r="Q375" s="23"/>
      <c r="R375" s="64"/>
      <c r="S375" s="54"/>
      <c r="T375" s="42"/>
      <c r="U375" s="42"/>
      <c r="V375" s="47"/>
    </row>
    <row r="376" spans="1:22" ht="36.75" customHeight="1" x14ac:dyDescent="0.25">
      <c r="A376" s="118"/>
      <c r="B376" s="119"/>
      <c r="C376" s="119"/>
      <c r="D376" s="119"/>
      <c r="E376" s="119"/>
      <c r="F376" s="120"/>
      <c r="G376" s="23"/>
      <c r="H376" s="23"/>
      <c r="I376" s="23"/>
      <c r="J376" s="23"/>
      <c r="K376" s="23"/>
      <c r="L376" s="34"/>
      <c r="M376" s="23"/>
      <c r="N376" s="23"/>
      <c r="O376" s="23"/>
      <c r="P376" s="23"/>
      <c r="Q376" s="23"/>
      <c r="R376" s="64"/>
      <c r="S376" s="54"/>
      <c r="T376" s="42"/>
      <c r="U376" s="42"/>
      <c r="V376" s="47"/>
    </row>
    <row r="377" spans="1:22" ht="18" customHeight="1" x14ac:dyDescent="0.25">
      <c r="A377" s="118"/>
      <c r="B377" s="119"/>
      <c r="C377" s="119"/>
      <c r="D377" s="119"/>
      <c r="E377" s="119"/>
      <c r="F377" s="120"/>
      <c r="G377" s="23"/>
      <c r="H377" s="23"/>
      <c r="I377" s="23"/>
      <c r="J377" s="23"/>
      <c r="K377" s="23"/>
      <c r="L377" s="34"/>
      <c r="M377" s="23"/>
      <c r="N377" s="23"/>
      <c r="O377" s="23"/>
      <c r="P377" s="23"/>
      <c r="Q377" s="23"/>
      <c r="R377" s="64"/>
      <c r="S377" s="54"/>
      <c r="T377" s="42"/>
      <c r="U377" s="42"/>
      <c r="V377" s="47"/>
    </row>
    <row r="378" spans="1:22" ht="21.75" customHeight="1" x14ac:dyDescent="0.25">
      <c r="A378" s="118"/>
      <c r="B378" s="119"/>
      <c r="C378" s="119"/>
      <c r="D378" s="119"/>
      <c r="E378" s="119"/>
      <c r="F378" s="120"/>
      <c r="G378" s="23"/>
      <c r="H378" s="23"/>
      <c r="I378" s="23"/>
      <c r="J378" s="23"/>
      <c r="K378" s="23"/>
      <c r="L378" s="34"/>
      <c r="M378" s="23"/>
      <c r="N378" s="23"/>
      <c r="O378" s="23"/>
      <c r="P378" s="23"/>
      <c r="Q378" s="23"/>
      <c r="R378" s="64"/>
      <c r="S378" s="54"/>
      <c r="T378" s="42"/>
      <c r="U378" s="42"/>
      <c r="V378" s="47"/>
    </row>
    <row r="379" spans="1:22" ht="21.75" customHeight="1" x14ac:dyDescent="0.25">
      <c r="A379" s="118"/>
      <c r="B379" s="119"/>
      <c r="C379" s="119"/>
      <c r="D379" s="119"/>
      <c r="E379" s="119"/>
      <c r="F379" s="120"/>
      <c r="G379" s="23"/>
      <c r="H379" s="23"/>
      <c r="I379" s="23"/>
      <c r="J379" s="23"/>
      <c r="K379" s="23"/>
      <c r="L379" s="34"/>
      <c r="M379" s="23"/>
      <c r="N379" s="23"/>
      <c r="O379" s="23"/>
      <c r="P379" s="23"/>
      <c r="Q379" s="23"/>
      <c r="R379" s="64"/>
      <c r="S379" s="54"/>
      <c r="T379" s="42"/>
      <c r="U379" s="42"/>
      <c r="V379" s="47"/>
    </row>
    <row r="380" spans="1:22" ht="21.75" customHeight="1" x14ac:dyDescent="0.25">
      <c r="A380" s="118"/>
      <c r="B380" s="119"/>
      <c r="C380" s="119"/>
      <c r="D380" s="119"/>
      <c r="E380" s="119"/>
      <c r="F380" s="120"/>
      <c r="G380" s="23"/>
      <c r="H380" s="23"/>
      <c r="I380" s="23"/>
      <c r="J380" s="23"/>
      <c r="K380" s="23"/>
      <c r="L380" s="34"/>
      <c r="M380" s="23"/>
      <c r="N380" s="23"/>
      <c r="O380" s="23"/>
      <c r="P380" s="23"/>
      <c r="Q380" s="23"/>
      <c r="R380" s="64"/>
      <c r="S380" s="54"/>
      <c r="T380" s="42"/>
      <c r="U380" s="42"/>
      <c r="V380" s="47"/>
    </row>
    <row r="381" spans="1:22" ht="21.75" customHeight="1" x14ac:dyDescent="0.25">
      <c r="A381" s="118"/>
      <c r="B381" s="119"/>
      <c r="C381" s="119"/>
      <c r="D381" s="119"/>
      <c r="E381" s="119"/>
      <c r="F381" s="120"/>
      <c r="G381" s="23"/>
      <c r="H381" s="23"/>
      <c r="I381" s="23"/>
      <c r="J381" s="23"/>
      <c r="K381" s="23"/>
      <c r="L381" s="34"/>
      <c r="M381" s="23"/>
      <c r="N381" s="23"/>
      <c r="O381" s="23"/>
      <c r="P381" s="23"/>
      <c r="Q381" s="23"/>
      <c r="R381" s="64"/>
      <c r="S381" s="54"/>
      <c r="T381" s="42"/>
      <c r="U381" s="42"/>
      <c r="V381" s="47"/>
    </row>
    <row r="382" spans="1:22" ht="15.75" customHeight="1" thickBot="1" x14ac:dyDescent="0.3">
      <c r="A382" s="134" t="s">
        <v>20</v>
      </c>
      <c r="B382" s="135"/>
      <c r="C382" s="135"/>
      <c r="D382" s="135"/>
      <c r="E382" s="135"/>
      <c r="F382" s="135"/>
      <c r="G382" s="23"/>
      <c r="H382" s="23"/>
      <c r="I382" s="23"/>
      <c r="J382" s="23"/>
      <c r="K382" s="23"/>
      <c r="L382" s="28">
        <f>L368-L370</f>
        <v>194844.89</v>
      </c>
      <c r="M382" s="23"/>
      <c r="N382" s="23"/>
      <c r="O382" s="23"/>
      <c r="P382" s="23"/>
      <c r="Q382" s="23"/>
      <c r="R382" s="64"/>
      <c r="S382" s="54"/>
      <c r="T382" s="42"/>
      <c r="U382" s="42"/>
      <c r="V382" s="47"/>
    </row>
    <row r="383" spans="1:22" ht="33" customHeight="1" x14ac:dyDescent="0.25">
      <c r="A383" s="90" t="s">
        <v>27</v>
      </c>
      <c r="B383" s="99">
        <v>13</v>
      </c>
      <c r="C383" s="7">
        <v>5</v>
      </c>
      <c r="D383" s="6">
        <v>4406.1000000000004</v>
      </c>
      <c r="E383" s="6"/>
      <c r="F383" s="6">
        <f t="shared" ref="F383" si="475">D383+E383</f>
        <v>4406.1000000000004</v>
      </c>
      <c r="G383" s="73"/>
      <c r="H383" s="73"/>
      <c r="I383" s="73"/>
      <c r="J383" s="73"/>
      <c r="K383" s="73"/>
      <c r="L383" s="73"/>
      <c r="M383" s="73"/>
      <c r="N383" s="73"/>
      <c r="O383" s="73"/>
      <c r="P383" s="73"/>
      <c r="Q383" s="73"/>
      <c r="R383" s="27"/>
      <c r="S383" s="48"/>
      <c r="T383" s="36"/>
      <c r="U383" s="36"/>
      <c r="V383" s="40"/>
    </row>
    <row r="384" spans="1:22" s="3" customFormat="1" ht="21" hidden="1" customHeight="1" x14ac:dyDescent="0.25">
      <c r="A384" s="123" t="s">
        <v>30</v>
      </c>
      <c r="B384" s="124"/>
      <c r="C384" s="124"/>
      <c r="D384" s="124"/>
      <c r="E384" s="124"/>
      <c r="F384" s="124"/>
      <c r="G384" s="11">
        <f t="shared" ref="G384:R384" si="476">$F$383*G$221</f>
        <v>0</v>
      </c>
      <c r="H384" s="11">
        <f t="shared" si="476"/>
        <v>0</v>
      </c>
      <c r="I384" s="11">
        <f t="shared" si="476"/>
        <v>0</v>
      </c>
      <c r="J384" s="11">
        <f t="shared" si="476"/>
        <v>0</v>
      </c>
      <c r="K384" s="11">
        <f t="shared" si="476"/>
        <v>0</v>
      </c>
      <c r="L384" s="11">
        <f t="shared" si="476"/>
        <v>0</v>
      </c>
      <c r="M384" s="11">
        <f t="shared" si="476"/>
        <v>0</v>
      </c>
      <c r="N384" s="11">
        <f t="shared" si="476"/>
        <v>0</v>
      </c>
      <c r="O384" s="11">
        <f t="shared" si="476"/>
        <v>0</v>
      </c>
      <c r="P384" s="11">
        <f t="shared" si="476"/>
        <v>0</v>
      </c>
      <c r="Q384" s="11">
        <f t="shared" si="476"/>
        <v>0</v>
      </c>
      <c r="R384" s="61">
        <f t="shared" si="476"/>
        <v>0</v>
      </c>
      <c r="S384" s="50"/>
      <c r="T384" s="37"/>
      <c r="U384" s="37"/>
      <c r="V384" s="38"/>
    </row>
    <row r="385" spans="1:22" s="3" customFormat="1" ht="21" customHeight="1" x14ac:dyDescent="0.25">
      <c r="A385" s="123" t="s">
        <v>49</v>
      </c>
      <c r="B385" s="124"/>
      <c r="C385" s="124"/>
      <c r="D385" s="124"/>
      <c r="E385" s="124"/>
      <c r="F385" s="124"/>
      <c r="G385" s="11">
        <f t="shared" ref="G385:R385" si="477">$F$383*G$222</f>
        <v>12116.775000000001</v>
      </c>
      <c r="H385" s="11">
        <f t="shared" si="477"/>
        <v>1321.8300000000002</v>
      </c>
      <c r="I385" s="11">
        <f t="shared" si="477"/>
        <v>19827.45</v>
      </c>
      <c r="J385" s="11">
        <f t="shared" si="477"/>
        <v>0</v>
      </c>
      <c r="K385" s="11">
        <f t="shared" si="477"/>
        <v>0</v>
      </c>
      <c r="L385" s="11">
        <f t="shared" si="477"/>
        <v>16302.570000000002</v>
      </c>
      <c r="M385" s="11">
        <f t="shared" si="477"/>
        <v>11764.287</v>
      </c>
      <c r="N385" s="11">
        <f t="shared" si="477"/>
        <v>11015.25</v>
      </c>
      <c r="O385" s="11">
        <f t="shared" si="477"/>
        <v>9208.7489999999998</v>
      </c>
      <c r="P385" s="11">
        <f t="shared" si="477"/>
        <v>0</v>
      </c>
      <c r="Q385" s="11">
        <f t="shared" si="477"/>
        <v>15641.655000000001</v>
      </c>
      <c r="R385" s="11">
        <f t="shared" si="477"/>
        <v>97198.566000000021</v>
      </c>
      <c r="S385" s="50"/>
      <c r="T385" s="37"/>
      <c r="U385" s="37"/>
      <c r="V385" s="38"/>
    </row>
    <row r="386" spans="1:22" s="3" customFormat="1" ht="21" customHeight="1" x14ac:dyDescent="0.25">
      <c r="A386" s="123" t="s">
        <v>76</v>
      </c>
      <c r="B386" s="124"/>
      <c r="C386" s="124"/>
      <c r="D386" s="124"/>
      <c r="E386" s="124"/>
      <c r="F386" s="124"/>
      <c r="G386" s="11">
        <f>$F$383*G$223</f>
        <v>12116.775000000001</v>
      </c>
      <c r="H386" s="11">
        <f t="shared" ref="H386:R386" si="478">$F$383*H$223</f>
        <v>1321.8300000000002</v>
      </c>
      <c r="I386" s="11">
        <f t="shared" si="478"/>
        <v>19827.45</v>
      </c>
      <c r="J386" s="11">
        <f t="shared" si="478"/>
        <v>0</v>
      </c>
      <c r="K386" s="11">
        <f t="shared" si="478"/>
        <v>0</v>
      </c>
      <c r="L386" s="11">
        <f t="shared" si="478"/>
        <v>16302.570000000002</v>
      </c>
      <c r="M386" s="11">
        <f t="shared" si="478"/>
        <v>11764.287</v>
      </c>
      <c r="N386" s="11">
        <f t="shared" si="478"/>
        <v>11015.25</v>
      </c>
      <c r="O386" s="11">
        <f t="shared" si="478"/>
        <v>9208.7489999999998</v>
      </c>
      <c r="P386" s="11">
        <f t="shared" si="478"/>
        <v>0</v>
      </c>
      <c r="Q386" s="11">
        <f t="shared" si="478"/>
        <v>22559.232000000004</v>
      </c>
      <c r="R386" s="11">
        <f t="shared" si="478"/>
        <v>104116.14300000003</v>
      </c>
      <c r="S386" s="50"/>
      <c r="T386" s="37"/>
      <c r="U386" s="37"/>
      <c r="V386" s="38"/>
    </row>
    <row r="387" spans="1:22" s="8" customFormat="1" ht="21" customHeight="1" x14ac:dyDescent="0.25">
      <c r="A387" s="125" t="s">
        <v>19</v>
      </c>
      <c r="B387" s="126"/>
      <c r="C387" s="126"/>
      <c r="D387" s="126"/>
      <c r="E387" s="126"/>
      <c r="F387" s="126"/>
      <c r="G387" s="10">
        <f>G385*6+G386*6</f>
        <v>145401.30000000002</v>
      </c>
      <c r="H387" s="10">
        <f t="shared" ref="H387" si="479">H385*6+H386*6</f>
        <v>15861.960000000003</v>
      </c>
      <c r="I387" s="10">
        <f t="shared" ref="I387" si="480">I385*6+I386*6</f>
        <v>237929.40000000002</v>
      </c>
      <c r="J387" s="10">
        <f t="shared" ref="J387" si="481">J385*6+J386*6</f>
        <v>0</v>
      </c>
      <c r="K387" s="10">
        <f t="shared" ref="K387" si="482">K385*6+K386*6</f>
        <v>0</v>
      </c>
      <c r="L387" s="10">
        <f t="shared" ref="L387" si="483">L385*6+L386*6</f>
        <v>195630.84000000003</v>
      </c>
      <c r="M387" s="10">
        <f t="shared" ref="M387" si="484">M385*6+M386*6</f>
        <v>141171.44400000002</v>
      </c>
      <c r="N387" s="10">
        <f t="shared" ref="N387" si="485">N385*6+N386*6</f>
        <v>132183</v>
      </c>
      <c r="O387" s="10">
        <f t="shared" ref="O387" si="486">O385*6+O386*6</f>
        <v>110504.988</v>
      </c>
      <c r="P387" s="10">
        <f t="shared" ref="P387" si="487">P385*6+P386*6</f>
        <v>0</v>
      </c>
      <c r="Q387" s="10">
        <f t="shared" ref="Q387" si="488">Q385*6+Q386*6</f>
        <v>229205.32200000004</v>
      </c>
      <c r="R387" s="10">
        <f t="shared" ref="R387" si="489">R385*6+R386*6</f>
        <v>1207888.2540000002</v>
      </c>
      <c r="S387" s="51"/>
      <c r="T387" s="38"/>
      <c r="U387" s="38"/>
      <c r="V387" s="38"/>
    </row>
    <row r="388" spans="1:22" ht="15" customHeight="1" x14ac:dyDescent="0.25">
      <c r="A388" s="127" t="s">
        <v>74</v>
      </c>
      <c r="B388" s="128"/>
      <c r="C388" s="128"/>
      <c r="D388" s="128"/>
      <c r="E388" s="128"/>
      <c r="F388" s="128"/>
      <c r="G388" s="21">
        <f>G387</f>
        <v>145401.30000000002</v>
      </c>
      <c r="H388" s="21">
        <f t="shared" ref="H388:R388" si="490">H387</f>
        <v>15861.960000000003</v>
      </c>
      <c r="I388" s="21">
        <f t="shared" si="490"/>
        <v>237929.40000000002</v>
      </c>
      <c r="J388" s="21">
        <f t="shared" si="490"/>
        <v>0</v>
      </c>
      <c r="K388" s="21">
        <f t="shared" si="490"/>
        <v>0</v>
      </c>
      <c r="L388" s="21">
        <f t="shared" si="490"/>
        <v>195630.84000000003</v>
      </c>
      <c r="M388" s="21">
        <f t="shared" si="490"/>
        <v>141171.44400000002</v>
      </c>
      <c r="N388" s="21">
        <f t="shared" si="490"/>
        <v>132183</v>
      </c>
      <c r="O388" s="21">
        <f t="shared" si="490"/>
        <v>110504.988</v>
      </c>
      <c r="P388" s="21">
        <f t="shared" si="490"/>
        <v>0</v>
      </c>
      <c r="Q388" s="21">
        <f t="shared" si="490"/>
        <v>229205.32200000004</v>
      </c>
      <c r="R388" s="106">
        <f t="shared" si="490"/>
        <v>1207888.2540000002</v>
      </c>
      <c r="S388" s="49"/>
      <c r="T388" s="37">
        <f>333471.77+464177.63</f>
        <v>797649.4</v>
      </c>
      <c r="U388" s="37">
        <f>52762.72+93841.4</f>
        <v>146604.12</v>
      </c>
      <c r="V388" s="38"/>
    </row>
    <row r="389" spans="1:22" ht="15.75" customHeight="1" x14ac:dyDescent="0.25">
      <c r="A389" s="127" t="s">
        <v>75</v>
      </c>
      <c r="B389" s="128"/>
      <c r="C389" s="128"/>
      <c r="D389" s="128"/>
      <c r="E389" s="128"/>
      <c r="F389" s="128"/>
      <c r="G389" s="21">
        <f>$R389/$R388*G388</f>
        <v>145401.30000000002</v>
      </c>
      <c r="H389" s="21">
        <f t="shared" ref="H389:I389" si="491">$R389/$R388*H388</f>
        <v>15861.960000000003</v>
      </c>
      <c r="I389" s="21">
        <f t="shared" si="491"/>
        <v>237929.40000000002</v>
      </c>
      <c r="J389" s="21"/>
      <c r="K389" s="21"/>
      <c r="L389" s="21">
        <f t="shared" ref="L389:O389" si="492">$R389/$R388*L388</f>
        <v>195630.84000000003</v>
      </c>
      <c r="M389" s="21">
        <f t="shared" si="492"/>
        <v>141171.44400000002</v>
      </c>
      <c r="N389" s="21">
        <f t="shared" si="492"/>
        <v>132183</v>
      </c>
      <c r="O389" s="21">
        <f t="shared" si="492"/>
        <v>110504.988</v>
      </c>
      <c r="P389" s="21"/>
      <c r="Q389" s="21">
        <f t="shared" ref="Q389" si="493">$R389/$R388*Q388</f>
        <v>229205.32200000004</v>
      </c>
      <c r="R389" s="107">
        <f>R388-R390</f>
        <v>1207888.2540000002</v>
      </c>
      <c r="S389" s="49">
        <f>R389/R388*100</f>
        <v>100</v>
      </c>
      <c r="T389" s="37">
        <v>454671.76</v>
      </c>
      <c r="U389" s="37">
        <v>91935.32</v>
      </c>
      <c r="V389" s="38"/>
    </row>
    <row r="390" spans="1:22" ht="18.75" customHeight="1" x14ac:dyDescent="0.25">
      <c r="A390" s="121" t="s">
        <v>18</v>
      </c>
      <c r="B390" s="122"/>
      <c r="C390" s="122"/>
      <c r="D390" s="122"/>
      <c r="E390" s="122"/>
      <c r="F390" s="122"/>
      <c r="G390" s="21">
        <f>$R390/$R388*G388</f>
        <v>0</v>
      </c>
      <c r="H390" s="21">
        <f>$R390/$R388*H388</f>
        <v>0</v>
      </c>
      <c r="I390" s="21">
        <f t="shared" ref="I390" si="494">$R390/$R388*I388</f>
        <v>0</v>
      </c>
      <c r="J390" s="21"/>
      <c r="K390" s="21"/>
      <c r="L390" s="21">
        <f t="shared" ref="L390:N390" si="495">$R390/$R388*L388</f>
        <v>0</v>
      </c>
      <c r="M390" s="21">
        <f t="shared" si="495"/>
        <v>0</v>
      </c>
      <c r="N390" s="21">
        <f t="shared" si="495"/>
        <v>0</v>
      </c>
      <c r="O390" s="21">
        <f>$R390/$R388*O388</f>
        <v>0</v>
      </c>
      <c r="P390" s="21"/>
      <c r="Q390" s="21">
        <f t="shared" ref="Q390" si="496">$R390/$R388*Q388</f>
        <v>0</v>
      </c>
      <c r="R390" s="108"/>
      <c r="S390" s="49"/>
      <c r="T390" s="37">
        <f>T388-T389</f>
        <v>342977.64</v>
      </c>
      <c r="U390" s="37">
        <f>U388-U389</f>
        <v>54668.799999999988</v>
      </c>
      <c r="V390" s="38">
        <f>T390+U390</f>
        <v>397646.44</v>
      </c>
    </row>
    <row r="391" spans="1:22" ht="15" customHeight="1" x14ac:dyDescent="0.25">
      <c r="A391" s="132" t="s">
        <v>17</v>
      </c>
      <c r="B391" s="133"/>
      <c r="C391" s="133"/>
      <c r="D391" s="133"/>
      <c r="E391" s="133"/>
      <c r="F391" s="133"/>
      <c r="G391" s="9"/>
      <c r="H391" s="9"/>
      <c r="I391" s="9"/>
      <c r="J391" s="9"/>
      <c r="K391" s="9"/>
      <c r="L391" s="10">
        <f>L392+L393+L394+L395+L396+L397</f>
        <v>230449.81</v>
      </c>
      <c r="M391" s="9"/>
      <c r="N391" s="9"/>
      <c r="O391" s="9"/>
      <c r="P391" s="9"/>
      <c r="Q391" s="9"/>
      <c r="R391" s="62"/>
      <c r="S391" s="49"/>
      <c r="T391" s="37"/>
      <c r="U391" s="37"/>
      <c r="V391" s="38"/>
    </row>
    <row r="392" spans="1:22" ht="15" customHeight="1" x14ac:dyDescent="0.25">
      <c r="A392" s="118" t="s">
        <v>67</v>
      </c>
      <c r="B392" s="119"/>
      <c r="C392" s="119"/>
      <c r="D392" s="119"/>
      <c r="E392" s="119"/>
      <c r="F392" s="120"/>
      <c r="G392" s="23"/>
      <c r="H392" s="23"/>
      <c r="I392" s="23"/>
      <c r="J392" s="23"/>
      <c r="K392" s="23"/>
      <c r="L392" s="117">
        <v>73956.23</v>
      </c>
      <c r="M392" s="23"/>
      <c r="N392" s="23"/>
      <c r="O392" s="23"/>
      <c r="P392" s="23"/>
      <c r="Q392" s="23"/>
      <c r="R392" s="64"/>
      <c r="S392" s="54"/>
      <c r="T392" s="42"/>
      <c r="U392" s="42"/>
      <c r="V392" s="47"/>
    </row>
    <row r="393" spans="1:22" ht="14.25" customHeight="1" x14ac:dyDescent="0.25">
      <c r="A393" s="118" t="s">
        <v>68</v>
      </c>
      <c r="B393" s="119"/>
      <c r="C393" s="119"/>
      <c r="D393" s="119"/>
      <c r="E393" s="119"/>
      <c r="F393" s="120"/>
      <c r="G393" s="23"/>
      <c r="H393" s="23"/>
      <c r="I393" s="23"/>
      <c r="J393" s="23"/>
      <c r="K393" s="23"/>
      <c r="L393" s="117">
        <v>77927.33</v>
      </c>
      <c r="M393" s="23"/>
      <c r="N393" s="23"/>
      <c r="O393" s="23"/>
      <c r="P393" s="23"/>
      <c r="Q393" s="23"/>
      <c r="R393" s="64"/>
      <c r="S393" s="54"/>
      <c r="T393" s="42"/>
      <c r="U393" s="42"/>
      <c r="V393" s="47"/>
    </row>
    <row r="394" spans="1:22" ht="21" customHeight="1" x14ac:dyDescent="0.25">
      <c r="A394" s="118" t="s">
        <v>78</v>
      </c>
      <c r="B394" s="119"/>
      <c r="C394" s="119"/>
      <c r="D394" s="119"/>
      <c r="E394" s="119"/>
      <c r="F394" s="120"/>
      <c r="G394" s="23"/>
      <c r="H394" s="23"/>
      <c r="I394" s="23"/>
      <c r="J394" s="23"/>
      <c r="K394" s="23"/>
      <c r="L394" s="115">
        <v>78566.25</v>
      </c>
      <c r="M394" s="23"/>
      <c r="N394" s="23"/>
      <c r="O394" s="23"/>
      <c r="P394" s="23"/>
      <c r="Q394" s="23"/>
      <c r="R394" s="64"/>
      <c r="S394" s="54"/>
      <c r="T394" s="42"/>
      <c r="U394" s="42"/>
      <c r="V394" s="47"/>
    </row>
    <row r="395" spans="1:22" ht="21" customHeight="1" x14ac:dyDescent="0.25">
      <c r="A395" s="118"/>
      <c r="B395" s="119"/>
      <c r="C395" s="119"/>
      <c r="D395" s="119"/>
      <c r="E395" s="119"/>
      <c r="F395" s="120"/>
      <c r="G395" s="23"/>
      <c r="H395" s="23"/>
      <c r="I395" s="23"/>
      <c r="J395" s="23"/>
      <c r="K395" s="23"/>
      <c r="L395" s="34"/>
      <c r="M395" s="23"/>
      <c r="N395" s="23"/>
      <c r="O395" s="23"/>
      <c r="P395" s="23"/>
      <c r="Q395" s="23"/>
      <c r="R395" s="64"/>
      <c r="S395" s="54"/>
      <c r="T395" s="42"/>
      <c r="U395" s="42"/>
      <c r="V395" s="47"/>
    </row>
    <row r="396" spans="1:22" ht="21" customHeight="1" x14ac:dyDescent="0.25">
      <c r="A396" s="118"/>
      <c r="B396" s="119"/>
      <c r="C396" s="119"/>
      <c r="D396" s="119"/>
      <c r="E396" s="119"/>
      <c r="F396" s="120"/>
      <c r="G396" s="23"/>
      <c r="H396" s="23"/>
      <c r="I396" s="23"/>
      <c r="J396" s="23"/>
      <c r="K396" s="23"/>
      <c r="L396" s="34"/>
      <c r="M396" s="23"/>
      <c r="N396" s="23"/>
      <c r="O396" s="23"/>
      <c r="P396" s="23"/>
      <c r="Q396" s="23"/>
      <c r="R396" s="64"/>
      <c r="S396" s="54"/>
      <c r="T396" s="42"/>
      <c r="U396" s="42"/>
      <c r="V396" s="47"/>
    </row>
    <row r="397" spans="1:22" ht="21" customHeight="1" x14ac:dyDescent="0.25">
      <c r="A397" s="118"/>
      <c r="B397" s="119"/>
      <c r="C397" s="119"/>
      <c r="D397" s="119"/>
      <c r="E397" s="119"/>
      <c r="F397" s="120"/>
      <c r="G397" s="23"/>
      <c r="H397" s="23"/>
      <c r="I397" s="23"/>
      <c r="J397" s="23"/>
      <c r="K397" s="23"/>
      <c r="L397" s="34"/>
      <c r="M397" s="23"/>
      <c r="N397" s="23"/>
      <c r="O397" s="23"/>
      <c r="P397" s="23"/>
      <c r="Q397" s="23"/>
      <c r="R397" s="64"/>
      <c r="S397" s="54"/>
      <c r="T397" s="42"/>
      <c r="U397" s="42"/>
      <c r="V397" s="47"/>
    </row>
    <row r="398" spans="1:22" ht="15.75" customHeight="1" thickBot="1" x14ac:dyDescent="0.3">
      <c r="A398" s="136" t="s">
        <v>20</v>
      </c>
      <c r="B398" s="137"/>
      <c r="C398" s="137"/>
      <c r="D398" s="137"/>
      <c r="E398" s="137"/>
      <c r="F398" s="137"/>
      <c r="G398" s="14"/>
      <c r="H398" s="14"/>
      <c r="I398" s="14"/>
      <c r="J398" s="14"/>
      <c r="K398" s="14"/>
      <c r="L398" s="26">
        <f>L389-L391</f>
        <v>-34818.969999999972</v>
      </c>
      <c r="M398" s="14"/>
      <c r="N398" s="14"/>
      <c r="O398" s="14"/>
      <c r="P398" s="14"/>
      <c r="Q398" s="14"/>
      <c r="R398" s="63"/>
      <c r="S398" s="52"/>
      <c r="T398" s="39"/>
      <c r="U398" s="39"/>
      <c r="V398" s="45"/>
    </row>
    <row r="399" spans="1:22" ht="33" customHeight="1" x14ac:dyDescent="0.25">
      <c r="A399" s="91" t="s">
        <v>27</v>
      </c>
      <c r="B399" s="100">
        <v>15</v>
      </c>
      <c r="C399" s="12">
        <v>5</v>
      </c>
      <c r="D399" s="13">
        <v>4573.5</v>
      </c>
      <c r="E399" s="13"/>
      <c r="F399" s="13">
        <f t="shared" ref="F399" si="497">D399+E399</f>
        <v>4573.5</v>
      </c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65"/>
      <c r="S399" s="55"/>
      <c r="T399" s="41"/>
      <c r="U399" s="41"/>
      <c r="V399" s="46"/>
    </row>
    <row r="400" spans="1:22" s="3" customFormat="1" ht="21" hidden="1" customHeight="1" x14ac:dyDescent="0.25">
      <c r="A400" s="123" t="s">
        <v>30</v>
      </c>
      <c r="B400" s="124"/>
      <c r="C400" s="124"/>
      <c r="D400" s="124"/>
      <c r="E400" s="124"/>
      <c r="F400" s="124"/>
      <c r="G400" s="11">
        <f t="shared" ref="G400:R400" si="498">$F$399*G$221</f>
        <v>0</v>
      </c>
      <c r="H400" s="11">
        <f t="shared" si="498"/>
        <v>0</v>
      </c>
      <c r="I400" s="11">
        <f t="shared" si="498"/>
        <v>0</v>
      </c>
      <c r="J400" s="11">
        <f t="shared" si="498"/>
        <v>0</v>
      </c>
      <c r="K400" s="11">
        <f t="shared" si="498"/>
        <v>0</v>
      </c>
      <c r="L400" s="11">
        <f t="shared" si="498"/>
        <v>0</v>
      </c>
      <c r="M400" s="11">
        <f t="shared" si="498"/>
        <v>0</v>
      </c>
      <c r="N400" s="11">
        <f t="shared" si="498"/>
        <v>0</v>
      </c>
      <c r="O400" s="11">
        <f t="shared" si="498"/>
        <v>0</v>
      </c>
      <c r="P400" s="11">
        <f t="shared" si="498"/>
        <v>0</v>
      </c>
      <c r="Q400" s="11">
        <f t="shared" si="498"/>
        <v>0</v>
      </c>
      <c r="R400" s="61">
        <f t="shared" si="498"/>
        <v>0</v>
      </c>
      <c r="S400" s="50"/>
      <c r="T400" s="37"/>
      <c r="U400" s="37"/>
      <c r="V400" s="38"/>
    </row>
    <row r="401" spans="1:22" s="3" customFormat="1" ht="21" customHeight="1" x14ac:dyDescent="0.25">
      <c r="A401" s="123" t="s">
        <v>49</v>
      </c>
      <c r="B401" s="124"/>
      <c r="C401" s="124"/>
      <c r="D401" s="124"/>
      <c r="E401" s="124"/>
      <c r="F401" s="124"/>
      <c r="G401" s="11">
        <f>$F$399*G$222</f>
        <v>12577.125</v>
      </c>
      <c r="H401" s="11">
        <f t="shared" ref="H401:R401" si="499">$F$399*H$222</f>
        <v>1372.05</v>
      </c>
      <c r="I401" s="11">
        <f t="shared" si="499"/>
        <v>20580.75</v>
      </c>
      <c r="J401" s="11">
        <f t="shared" si="499"/>
        <v>0</v>
      </c>
      <c r="K401" s="11">
        <f t="shared" si="499"/>
        <v>0</v>
      </c>
      <c r="L401" s="11">
        <f t="shared" si="499"/>
        <v>16921.95</v>
      </c>
      <c r="M401" s="11">
        <f t="shared" si="499"/>
        <v>12211.244999999999</v>
      </c>
      <c r="N401" s="11">
        <f t="shared" si="499"/>
        <v>11433.75</v>
      </c>
      <c r="O401" s="11">
        <f t="shared" si="499"/>
        <v>9558.6149999999998</v>
      </c>
      <c r="P401" s="11">
        <f t="shared" si="499"/>
        <v>0</v>
      </c>
      <c r="Q401" s="11">
        <f t="shared" si="499"/>
        <v>16235.924999999999</v>
      </c>
      <c r="R401" s="11">
        <f t="shared" si="499"/>
        <v>100891.41</v>
      </c>
      <c r="S401" s="50"/>
      <c r="T401" s="37"/>
      <c r="U401" s="37"/>
      <c r="V401" s="38"/>
    </row>
    <row r="402" spans="1:22" s="3" customFormat="1" ht="21" customHeight="1" x14ac:dyDescent="0.25">
      <c r="A402" s="123" t="s">
        <v>76</v>
      </c>
      <c r="B402" s="124"/>
      <c r="C402" s="124"/>
      <c r="D402" s="124"/>
      <c r="E402" s="124"/>
      <c r="F402" s="124"/>
      <c r="G402" s="11">
        <f>$F$399*G$223</f>
        <v>12577.125</v>
      </c>
      <c r="H402" s="11">
        <f t="shared" ref="H402:R402" si="500">$F$399*H$223</f>
        <v>1372.05</v>
      </c>
      <c r="I402" s="11">
        <f t="shared" si="500"/>
        <v>20580.75</v>
      </c>
      <c r="J402" s="11">
        <f t="shared" si="500"/>
        <v>0</v>
      </c>
      <c r="K402" s="11">
        <f t="shared" si="500"/>
        <v>0</v>
      </c>
      <c r="L402" s="11">
        <f t="shared" si="500"/>
        <v>16921.95</v>
      </c>
      <c r="M402" s="11">
        <f t="shared" si="500"/>
        <v>12211.244999999999</v>
      </c>
      <c r="N402" s="11">
        <f t="shared" si="500"/>
        <v>11433.75</v>
      </c>
      <c r="O402" s="11">
        <f t="shared" si="500"/>
        <v>9558.6149999999998</v>
      </c>
      <c r="P402" s="11">
        <f t="shared" si="500"/>
        <v>0</v>
      </c>
      <c r="Q402" s="11">
        <f t="shared" si="500"/>
        <v>23416.32</v>
      </c>
      <c r="R402" s="11">
        <f t="shared" si="500"/>
        <v>108071.80500000001</v>
      </c>
      <c r="S402" s="50"/>
      <c r="T402" s="37"/>
      <c r="U402" s="37"/>
      <c r="V402" s="38"/>
    </row>
    <row r="403" spans="1:22" s="8" customFormat="1" ht="21" customHeight="1" x14ac:dyDescent="0.25">
      <c r="A403" s="125" t="s">
        <v>19</v>
      </c>
      <c r="B403" s="126"/>
      <c r="C403" s="126"/>
      <c r="D403" s="126"/>
      <c r="E403" s="126"/>
      <c r="F403" s="126"/>
      <c r="G403" s="10">
        <f>G401*6+G402*6</f>
        <v>150925.5</v>
      </c>
      <c r="H403" s="10">
        <f t="shared" ref="H403" si="501">H401*6+H402*6</f>
        <v>16464.599999999999</v>
      </c>
      <c r="I403" s="10">
        <f t="shared" ref="I403" si="502">I401*6+I402*6</f>
        <v>246969</v>
      </c>
      <c r="J403" s="10">
        <f t="shared" ref="J403" si="503">J401*6+J402*6</f>
        <v>0</v>
      </c>
      <c r="K403" s="10">
        <f t="shared" ref="K403" si="504">K401*6+K402*6</f>
        <v>0</v>
      </c>
      <c r="L403" s="10">
        <f t="shared" ref="L403" si="505">L401*6+L402*6</f>
        <v>203063.40000000002</v>
      </c>
      <c r="M403" s="10">
        <f t="shared" ref="M403" si="506">M401*6+M402*6</f>
        <v>146534.94</v>
      </c>
      <c r="N403" s="10">
        <f t="shared" ref="N403" si="507">N401*6+N402*6</f>
        <v>137205</v>
      </c>
      <c r="O403" s="10">
        <f t="shared" ref="O403" si="508">O401*6+O402*6</f>
        <v>114703.38</v>
      </c>
      <c r="P403" s="10">
        <f t="shared" ref="P403" si="509">P401*6+P402*6</f>
        <v>0</v>
      </c>
      <c r="Q403" s="10">
        <f t="shared" ref="Q403" si="510">Q401*6+Q402*6</f>
        <v>237913.46999999997</v>
      </c>
      <c r="R403" s="10">
        <f t="shared" ref="R403" si="511">R401*6+R402*6</f>
        <v>1253779.29</v>
      </c>
      <c r="S403" s="51"/>
      <c r="T403" s="38"/>
      <c r="U403" s="38"/>
      <c r="V403" s="38"/>
    </row>
    <row r="404" spans="1:22" ht="15" customHeight="1" x14ac:dyDescent="0.25">
      <c r="A404" s="127" t="s">
        <v>74</v>
      </c>
      <c r="B404" s="128"/>
      <c r="C404" s="128"/>
      <c r="D404" s="128"/>
      <c r="E404" s="128"/>
      <c r="F404" s="128"/>
      <c r="G404" s="21">
        <f>G403</f>
        <v>150925.5</v>
      </c>
      <c r="H404" s="21">
        <f t="shared" ref="H404:R404" si="512">H403</f>
        <v>16464.599999999999</v>
      </c>
      <c r="I404" s="21">
        <f t="shared" si="512"/>
        <v>246969</v>
      </c>
      <c r="J404" s="21">
        <f t="shared" si="512"/>
        <v>0</v>
      </c>
      <c r="K404" s="21">
        <f t="shared" si="512"/>
        <v>0</v>
      </c>
      <c r="L404" s="21">
        <f t="shared" si="512"/>
        <v>203063.40000000002</v>
      </c>
      <c r="M404" s="21">
        <f t="shared" si="512"/>
        <v>146534.94</v>
      </c>
      <c r="N404" s="21">
        <f t="shared" si="512"/>
        <v>137205</v>
      </c>
      <c r="O404" s="21">
        <f t="shared" si="512"/>
        <v>114703.38</v>
      </c>
      <c r="P404" s="21">
        <f t="shared" si="512"/>
        <v>0</v>
      </c>
      <c r="Q404" s="21">
        <f t="shared" si="512"/>
        <v>237913.46999999997</v>
      </c>
      <c r="R404" s="106">
        <f t="shared" si="512"/>
        <v>1253779.29</v>
      </c>
      <c r="S404" s="49"/>
      <c r="T404" s="37">
        <f>254770.17+481920.01</f>
        <v>736690.18</v>
      </c>
      <c r="U404" s="37">
        <f>50909.3+97428.26</f>
        <v>148337.56</v>
      </c>
      <c r="V404" s="38"/>
    </row>
    <row r="405" spans="1:22" ht="15.75" customHeight="1" x14ac:dyDescent="0.25">
      <c r="A405" s="127" t="s">
        <v>75</v>
      </c>
      <c r="B405" s="128"/>
      <c r="C405" s="128"/>
      <c r="D405" s="128"/>
      <c r="E405" s="128"/>
      <c r="F405" s="128"/>
      <c r="G405" s="21">
        <f>$R405/$R404*G404</f>
        <v>150925.5</v>
      </c>
      <c r="H405" s="21">
        <f t="shared" ref="H405:I405" si="513">$R405/$R404*H404</f>
        <v>16464.599999999999</v>
      </c>
      <c r="I405" s="21">
        <f t="shared" si="513"/>
        <v>246969</v>
      </c>
      <c r="J405" s="21"/>
      <c r="K405" s="21"/>
      <c r="L405" s="21">
        <f t="shared" ref="L405:O405" si="514">$R405/$R404*L404</f>
        <v>203063.40000000002</v>
      </c>
      <c r="M405" s="21">
        <f t="shared" si="514"/>
        <v>146534.94</v>
      </c>
      <c r="N405" s="21">
        <f t="shared" si="514"/>
        <v>137205</v>
      </c>
      <c r="O405" s="21">
        <f t="shared" si="514"/>
        <v>114703.38</v>
      </c>
      <c r="P405" s="21"/>
      <c r="Q405" s="21">
        <f t="shared" ref="Q405" si="515">$R405/$R404*Q404</f>
        <v>237913.46999999997</v>
      </c>
      <c r="R405" s="107">
        <f>R404-R406</f>
        <v>1253779.29</v>
      </c>
      <c r="S405" s="49">
        <f>R405/R404*100</f>
        <v>100</v>
      </c>
      <c r="T405" s="37">
        <v>461098.65</v>
      </c>
      <c r="U405" s="37">
        <v>92586.47</v>
      </c>
      <c r="V405" s="38"/>
    </row>
    <row r="406" spans="1:22" ht="18.75" customHeight="1" x14ac:dyDescent="0.25">
      <c r="A406" s="121" t="s">
        <v>18</v>
      </c>
      <c r="B406" s="122"/>
      <c r="C406" s="122"/>
      <c r="D406" s="122"/>
      <c r="E406" s="122"/>
      <c r="F406" s="122"/>
      <c r="G406" s="21">
        <f>$R406/$R404*G404</f>
        <v>0</v>
      </c>
      <c r="H406" s="21">
        <f>$R406/$R404*H404</f>
        <v>0</v>
      </c>
      <c r="I406" s="21">
        <f t="shared" ref="I406" si="516">$R406/$R404*I404</f>
        <v>0</v>
      </c>
      <c r="J406" s="21"/>
      <c r="K406" s="21"/>
      <c r="L406" s="21">
        <f t="shared" ref="L406:N406" si="517">$R406/$R404*L404</f>
        <v>0</v>
      </c>
      <c r="M406" s="21">
        <f t="shared" si="517"/>
        <v>0</v>
      </c>
      <c r="N406" s="21">
        <f t="shared" si="517"/>
        <v>0</v>
      </c>
      <c r="O406" s="21">
        <f>$R406/$R404*O404</f>
        <v>0</v>
      </c>
      <c r="P406" s="21"/>
      <c r="Q406" s="21">
        <f t="shared" ref="Q406" si="518">$R406/$R404*Q404</f>
        <v>0</v>
      </c>
      <c r="R406" s="108"/>
      <c r="S406" s="49"/>
      <c r="T406" s="37">
        <f>T404-T405</f>
        <v>275591.53000000003</v>
      </c>
      <c r="U406" s="37">
        <f>U404-U405</f>
        <v>55751.09</v>
      </c>
      <c r="V406" s="38">
        <f>T406+U406</f>
        <v>331342.62</v>
      </c>
    </row>
    <row r="407" spans="1:22" ht="15" customHeight="1" x14ac:dyDescent="0.25">
      <c r="A407" s="132" t="s">
        <v>17</v>
      </c>
      <c r="B407" s="133"/>
      <c r="C407" s="133"/>
      <c r="D407" s="133"/>
      <c r="E407" s="133"/>
      <c r="F407" s="133"/>
      <c r="G407" s="9"/>
      <c r="H407" s="9"/>
      <c r="I407" s="9"/>
      <c r="J407" s="9"/>
      <c r="K407" s="9"/>
      <c r="L407" s="10">
        <f>L408+L409+L410+L411+L412+L413</f>
        <v>568116.37</v>
      </c>
      <c r="M407" s="9"/>
      <c r="N407" s="9"/>
      <c r="O407" s="9"/>
      <c r="P407" s="9"/>
      <c r="Q407" s="9"/>
      <c r="R407" s="62"/>
      <c r="S407" s="49"/>
      <c r="T407" s="37"/>
      <c r="U407" s="37"/>
      <c r="V407" s="38"/>
    </row>
    <row r="408" spans="1:22" ht="20.25" customHeight="1" x14ac:dyDescent="0.25">
      <c r="A408" s="118" t="s">
        <v>83</v>
      </c>
      <c r="B408" s="119"/>
      <c r="C408" s="119"/>
      <c r="D408" s="119"/>
      <c r="E408" s="119"/>
      <c r="F408" s="120"/>
      <c r="G408" s="23"/>
      <c r="H408" s="23"/>
      <c r="I408" s="23"/>
      <c r="J408" s="23"/>
      <c r="K408" s="23"/>
      <c r="L408" s="112">
        <v>110015.98</v>
      </c>
      <c r="M408" s="23"/>
      <c r="N408" s="23"/>
      <c r="O408" s="23"/>
      <c r="P408" s="23"/>
      <c r="Q408" s="23"/>
      <c r="R408" s="64"/>
      <c r="S408" s="54"/>
      <c r="T408" s="42"/>
      <c r="U408" s="42"/>
      <c r="V408" s="47"/>
    </row>
    <row r="409" spans="1:22" ht="20.25" customHeight="1" x14ac:dyDescent="0.25">
      <c r="A409" s="118" t="s">
        <v>90</v>
      </c>
      <c r="B409" s="119"/>
      <c r="C409" s="119"/>
      <c r="D409" s="119"/>
      <c r="E409" s="119"/>
      <c r="F409" s="120"/>
      <c r="G409" s="23"/>
      <c r="H409" s="23"/>
      <c r="I409" s="23"/>
      <c r="J409" s="23"/>
      <c r="K409" s="23"/>
      <c r="L409" s="117">
        <f>78429.89+75537.99+75537.99+75537.99+74626.64+78429.89</f>
        <v>458100.39</v>
      </c>
      <c r="M409" s="23"/>
      <c r="N409" s="23"/>
      <c r="O409" s="23"/>
      <c r="P409" s="23"/>
      <c r="Q409" s="23"/>
      <c r="R409" s="64"/>
      <c r="S409" s="54"/>
      <c r="T409" s="42"/>
      <c r="U409" s="42"/>
      <c r="V409" s="47"/>
    </row>
    <row r="410" spans="1:22" ht="21" customHeight="1" x14ac:dyDescent="0.25">
      <c r="A410" s="118"/>
      <c r="B410" s="119"/>
      <c r="C410" s="119"/>
      <c r="D410" s="119"/>
      <c r="E410" s="119"/>
      <c r="F410" s="120"/>
      <c r="G410" s="23"/>
      <c r="H410" s="23"/>
      <c r="I410" s="23"/>
      <c r="J410" s="23"/>
      <c r="K410" s="23"/>
      <c r="L410" s="34"/>
      <c r="M410" s="23"/>
      <c r="N410" s="23"/>
      <c r="O410" s="23"/>
      <c r="P410" s="23"/>
      <c r="Q410" s="23"/>
      <c r="R410" s="64"/>
      <c r="S410" s="54"/>
      <c r="T410" s="42"/>
      <c r="U410" s="42"/>
      <c r="V410" s="47"/>
    </row>
    <row r="411" spans="1:22" ht="21" customHeight="1" x14ac:dyDescent="0.25">
      <c r="A411" s="118"/>
      <c r="B411" s="119"/>
      <c r="C411" s="119"/>
      <c r="D411" s="119"/>
      <c r="E411" s="119"/>
      <c r="F411" s="120"/>
      <c r="G411" s="23"/>
      <c r="H411" s="23"/>
      <c r="I411" s="23"/>
      <c r="J411" s="23"/>
      <c r="K411" s="23"/>
      <c r="L411" s="34"/>
      <c r="M411" s="23"/>
      <c r="N411" s="23"/>
      <c r="O411" s="23"/>
      <c r="P411" s="23"/>
      <c r="Q411" s="23"/>
      <c r="R411" s="64"/>
      <c r="S411" s="54"/>
      <c r="T411" s="42"/>
      <c r="U411" s="42"/>
      <c r="V411" s="47"/>
    </row>
    <row r="412" spans="1:22" ht="31.5" customHeight="1" x14ac:dyDescent="0.25">
      <c r="A412" s="118"/>
      <c r="B412" s="119"/>
      <c r="C412" s="119"/>
      <c r="D412" s="119"/>
      <c r="E412" s="119"/>
      <c r="F412" s="120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64"/>
      <c r="S412" s="54"/>
      <c r="T412" s="42"/>
      <c r="U412" s="42"/>
      <c r="V412" s="47"/>
    </row>
    <row r="413" spans="1:22" ht="21.75" customHeight="1" x14ac:dyDescent="0.25">
      <c r="A413" s="118"/>
      <c r="B413" s="119"/>
      <c r="C413" s="119"/>
      <c r="D413" s="119"/>
      <c r="E413" s="119"/>
      <c r="F413" s="120"/>
      <c r="G413" s="23"/>
      <c r="H413" s="23"/>
      <c r="I413" s="23"/>
      <c r="J413" s="23"/>
      <c r="K413" s="23"/>
      <c r="L413" s="34"/>
      <c r="M413" s="23"/>
      <c r="N413" s="23"/>
      <c r="O413" s="23"/>
      <c r="P413" s="23"/>
      <c r="Q413" s="23"/>
      <c r="R413" s="64"/>
      <c r="S413" s="54"/>
      <c r="T413" s="42"/>
      <c r="U413" s="42"/>
      <c r="V413" s="47"/>
    </row>
    <row r="414" spans="1:22" ht="15.75" customHeight="1" thickBot="1" x14ac:dyDescent="0.3">
      <c r="A414" s="134" t="s">
        <v>20</v>
      </c>
      <c r="B414" s="135"/>
      <c r="C414" s="135"/>
      <c r="D414" s="135"/>
      <c r="E414" s="135"/>
      <c r="F414" s="135"/>
      <c r="G414" s="23"/>
      <c r="H414" s="23"/>
      <c r="I414" s="23"/>
      <c r="J414" s="23"/>
      <c r="K414" s="23"/>
      <c r="L414" s="28">
        <f>L405-L407</f>
        <v>-365052.97</v>
      </c>
      <c r="M414" s="23"/>
      <c r="N414" s="23"/>
      <c r="O414" s="23"/>
      <c r="P414" s="23"/>
      <c r="Q414" s="23"/>
      <c r="R414" s="64"/>
      <c r="S414" s="54"/>
      <c r="T414" s="42"/>
      <c r="U414" s="42"/>
      <c r="V414" s="47"/>
    </row>
    <row r="415" spans="1:22" ht="33" customHeight="1" x14ac:dyDescent="0.25">
      <c r="A415" s="90" t="s">
        <v>27</v>
      </c>
      <c r="B415" s="99">
        <v>16</v>
      </c>
      <c r="C415" s="7">
        <v>5</v>
      </c>
      <c r="D415" s="6">
        <v>3268.9</v>
      </c>
      <c r="E415" s="6">
        <v>106.1</v>
      </c>
      <c r="F415" s="6">
        <f t="shared" ref="F415" si="519">D415+E415</f>
        <v>3375</v>
      </c>
      <c r="G415" s="73"/>
      <c r="H415" s="73"/>
      <c r="I415" s="73"/>
      <c r="J415" s="73"/>
      <c r="K415" s="73"/>
      <c r="L415" s="73"/>
      <c r="M415" s="73"/>
      <c r="N415" s="73"/>
      <c r="O415" s="73"/>
      <c r="P415" s="73"/>
      <c r="Q415" s="73"/>
      <c r="R415" s="27"/>
      <c r="S415" s="48"/>
      <c r="T415" s="36"/>
      <c r="U415" s="36"/>
      <c r="V415" s="40"/>
    </row>
    <row r="416" spans="1:22" s="3" customFormat="1" ht="21" hidden="1" customHeight="1" x14ac:dyDescent="0.25">
      <c r="A416" s="123" t="s">
        <v>30</v>
      </c>
      <c r="B416" s="124"/>
      <c r="C416" s="124"/>
      <c r="D416" s="124"/>
      <c r="E416" s="124"/>
      <c r="F416" s="124"/>
      <c r="G416" s="11">
        <f t="shared" ref="G416:R416" si="520">$F$415*G$221</f>
        <v>0</v>
      </c>
      <c r="H416" s="11">
        <f t="shared" si="520"/>
        <v>0</v>
      </c>
      <c r="I416" s="11">
        <f t="shared" si="520"/>
        <v>0</v>
      </c>
      <c r="J416" s="11">
        <f t="shared" si="520"/>
        <v>0</v>
      </c>
      <c r="K416" s="11">
        <f t="shared" si="520"/>
        <v>0</v>
      </c>
      <c r="L416" s="11">
        <f t="shared" si="520"/>
        <v>0</v>
      </c>
      <c r="M416" s="11">
        <f t="shared" si="520"/>
        <v>0</v>
      </c>
      <c r="N416" s="11">
        <f t="shared" si="520"/>
        <v>0</v>
      </c>
      <c r="O416" s="11">
        <f t="shared" si="520"/>
        <v>0</v>
      </c>
      <c r="P416" s="11">
        <f t="shared" si="520"/>
        <v>0</v>
      </c>
      <c r="Q416" s="11">
        <f t="shared" si="520"/>
        <v>0</v>
      </c>
      <c r="R416" s="61">
        <f t="shared" si="520"/>
        <v>0</v>
      </c>
      <c r="S416" s="50"/>
      <c r="T416" s="37"/>
      <c r="U416" s="37"/>
      <c r="V416" s="38"/>
    </row>
    <row r="417" spans="1:22" s="3" customFormat="1" ht="21" customHeight="1" x14ac:dyDescent="0.25">
      <c r="A417" s="123" t="s">
        <v>49</v>
      </c>
      <c r="B417" s="124"/>
      <c r="C417" s="124"/>
      <c r="D417" s="124"/>
      <c r="E417" s="124"/>
      <c r="F417" s="124"/>
      <c r="G417" s="11">
        <f>$F$415*G$222</f>
        <v>9281.25</v>
      </c>
      <c r="H417" s="11">
        <f t="shared" ref="H417:R417" si="521">$F$415*H$222</f>
        <v>1012.5</v>
      </c>
      <c r="I417" s="11">
        <f t="shared" si="521"/>
        <v>15187.5</v>
      </c>
      <c r="J417" s="11">
        <f t="shared" si="521"/>
        <v>0</v>
      </c>
      <c r="K417" s="11">
        <f t="shared" si="521"/>
        <v>0</v>
      </c>
      <c r="L417" s="11">
        <f t="shared" si="521"/>
        <v>12487.5</v>
      </c>
      <c r="M417" s="11">
        <f t="shared" si="521"/>
        <v>9011.25</v>
      </c>
      <c r="N417" s="11">
        <f t="shared" si="521"/>
        <v>8437.5</v>
      </c>
      <c r="O417" s="11">
        <f t="shared" si="521"/>
        <v>7053.7499999999991</v>
      </c>
      <c r="P417" s="11">
        <f t="shared" si="521"/>
        <v>0</v>
      </c>
      <c r="Q417" s="11">
        <f t="shared" si="521"/>
        <v>11981.25</v>
      </c>
      <c r="R417" s="11">
        <f t="shared" si="521"/>
        <v>74452.500000000015</v>
      </c>
      <c r="S417" s="50"/>
      <c r="T417" s="37"/>
      <c r="U417" s="37"/>
      <c r="V417" s="38"/>
    </row>
    <row r="418" spans="1:22" s="3" customFormat="1" ht="21" customHeight="1" x14ac:dyDescent="0.25">
      <c r="A418" s="123" t="s">
        <v>76</v>
      </c>
      <c r="B418" s="124"/>
      <c r="C418" s="124"/>
      <c r="D418" s="124"/>
      <c r="E418" s="124"/>
      <c r="F418" s="124"/>
      <c r="G418" s="11">
        <f>$F$415*G$223</f>
        <v>9281.25</v>
      </c>
      <c r="H418" s="11">
        <f t="shared" ref="H418:R418" si="522">$F$415*H$223</f>
        <v>1012.5</v>
      </c>
      <c r="I418" s="11">
        <f t="shared" si="522"/>
        <v>15187.5</v>
      </c>
      <c r="J418" s="11">
        <f t="shared" si="522"/>
        <v>0</v>
      </c>
      <c r="K418" s="11">
        <f t="shared" si="522"/>
        <v>0</v>
      </c>
      <c r="L418" s="11">
        <f t="shared" si="522"/>
        <v>12487.5</v>
      </c>
      <c r="M418" s="11">
        <f t="shared" si="522"/>
        <v>9011.25</v>
      </c>
      <c r="N418" s="11">
        <f t="shared" si="522"/>
        <v>8437.5</v>
      </c>
      <c r="O418" s="11">
        <f t="shared" si="522"/>
        <v>7053.7499999999991</v>
      </c>
      <c r="P418" s="11">
        <f t="shared" si="522"/>
        <v>0</v>
      </c>
      <c r="Q418" s="11">
        <f t="shared" si="522"/>
        <v>17280</v>
      </c>
      <c r="R418" s="11">
        <f t="shared" si="522"/>
        <v>79751.250000000015</v>
      </c>
      <c r="S418" s="50"/>
      <c r="T418" s="37"/>
      <c r="U418" s="37"/>
      <c r="V418" s="38"/>
    </row>
    <row r="419" spans="1:22" s="8" customFormat="1" ht="21" customHeight="1" x14ac:dyDescent="0.25">
      <c r="A419" s="125" t="s">
        <v>19</v>
      </c>
      <c r="B419" s="126"/>
      <c r="C419" s="126"/>
      <c r="D419" s="126"/>
      <c r="E419" s="126"/>
      <c r="F419" s="126"/>
      <c r="G419" s="10">
        <f>G417*6+G418*6</f>
        <v>111375</v>
      </c>
      <c r="H419" s="10">
        <f t="shared" ref="H419" si="523">H417*6+H418*6</f>
        <v>12150</v>
      </c>
      <c r="I419" s="10">
        <f t="shared" ref="I419" si="524">I417*6+I418*6</f>
        <v>182250</v>
      </c>
      <c r="J419" s="10">
        <f t="shared" ref="J419" si="525">J417*6+J418*6</f>
        <v>0</v>
      </c>
      <c r="K419" s="10">
        <f t="shared" ref="K419" si="526">K417*6+K418*6</f>
        <v>0</v>
      </c>
      <c r="L419" s="10">
        <f t="shared" ref="L419" si="527">L417*6+L418*6</f>
        <v>149850</v>
      </c>
      <c r="M419" s="10">
        <f t="shared" ref="M419" si="528">M417*6+M418*6</f>
        <v>108135</v>
      </c>
      <c r="N419" s="10">
        <f t="shared" ref="N419" si="529">N417*6+N418*6</f>
        <v>101250</v>
      </c>
      <c r="O419" s="10">
        <f t="shared" ref="O419" si="530">O417*6+O418*6</f>
        <v>84644.999999999985</v>
      </c>
      <c r="P419" s="10">
        <f t="shared" ref="P419" si="531">P417*6+P418*6</f>
        <v>0</v>
      </c>
      <c r="Q419" s="10">
        <f t="shared" ref="Q419" si="532">Q417*6+Q418*6</f>
        <v>175567.5</v>
      </c>
      <c r="R419" s="10">
        <f t="shared" ref="R419" si="533">R417*6+R418*6</f>
        <v>925222.50000000023</v>
      </c>
      <c r="S419" s="51"/>
      <c r="T419" s="38"/>
      <c r="U419" s="38"/>
      <c r="V419" s="38"/>
    </row>
    <row r="420" spans="1:22" ht="15" customHeight="1" x14ac:dyDescent="0.25">
      <c r="A420" s="127" t="s">
        <v>74</v>
      </c>
      <c r="B420" s="128"/>
      <c r="C420" s="128"/>
      <c r="D420" s="128"/>
      <c r="E420" s="128"/>
      <c r="F420" s="128"/>
      <c r="G420" s="21">
        <f>G419</f>
        <v>111375</v>
      </c>
      <c r="H420" s="21">
        <f t="shared" ref="H420:R420" si="534">H419</f>
        <v>12150</v>
      </c>
      <c r="I420" s="21">
        <f t="shared" si="534"/>
        <v>182250</v>
      </c>
      <c r="J420" s="21">
        <f t="shared" si="534"/>
        <v>0</v>
      </c>
      <c r="K420" s="21">
        <f t="shared" si="534"/>
        <v>0</v>
      </c>
      <c r="L420" s="21">
        <f t="shared" si="534"/>
        <v>149850</v>
      </c>
      <c r="M420" s="21">
        <f t="shared" si="534"/>
        <v>108135</v>
      </c>
      <c r="N420" s="21">
        <f t="shared" si="534"/>
        <v>101250</v>
      </c>
      <c r="O420" s="21">
        <f t="shared" si="534"/>
        <v>84644.999999999985</v>
      </c>
      <c r="P420" s="21">
        <f t="shared" si="534"/>
        <v>0</v>
      </c>
      <c r="Q420" s="21">
        <f t="shared" si="534"/>
        <v>175567.5</v>
      </c>
      <c r="R420" s="106">
        <f t="shared" si="534"/>
        <v>925222.50000000023</v>
      </c>
      <c r="S420" s="49"/>
      <c r="T420" s="37">
        <f>268300.75+344421.66</f>
        <v>612722.40999999992</v>
      </c>
      <c r="U420" s="37">
        <f>46420.9+69630.96</f>
        <v>116051.86000000002</v>
      </c>
      <c r="V420" s="38"/>
    </row>
    <row r="421" spans="1:22" ht="15.75" customHeight="1" x14ac:dyDescent="0.25">
      <c r="A421" s="127" t="s">
        <v>75</v>
      </c>
      <c r="B421" s="128"/>
      <c r="C421" s="128"/>
      <c r="D421" s="128"/>
      <c r="E421" s="128"/>
      <c r="F421" s="128"/>
      <c r="G421" s="21">
        <f>$R421/$R420*G420</f>
        <v>111375</v>
      </c>
      <c r="H421" s="21">
        <f t="shared" ref="H421:I421" si="535">$R421/$R420*H420</f>
        <v>12150</v>
      </c>
      <c r="I421" s="21">
        <f t="shared" si="535"/>
        <v>182250</v>
      </c>
      <c r="J421" s="21"/>
      <c r="K421" s="21"/>
      <c r="L421" s="21">
        <f t="shared" ref="L421:O421" si="536">$R421/$R420*L420</f>
        <v>149850</v>
      </c>
      <c r="M421" s="21">
        <f t="shared" si="536"/>
        <v>108135</v>
      </c>
      <c r="N421" s="21">
        <f t="shared" si="536"/>
        <v>101250</v>
      </c>
      <c r="O421" s="21">
        <f t="shared" si="536"/>
        <v>84644.999999999985</v>
      </c>
      <c r="P421" s="21"/>
      <c r="Q421" s="21">
        <f t="shared" ref="Q421" si="537">$R421/$R420*Q420</f>
        <v>175567.5</v>
      </c>
      <c r="R421" s="107">
        <f>R420-R422</f>
        <v>925222.50000000023</v>
      </c>
      <c r="S421" s="49">
        <f>R421/R420*100</f>
        <v>100</v>
      </c>
      <c r="T421" s="37">
        <v>341402.46</v>
      </c>
      <c r="U421" s="37">
        <v>67708.429999999993</v>
      </c>
      <c r="V421" s="38"/>
    </row>
    <row r="422" spans="1:22" ht="18.75" customHeight="1" x14ac:dyDescent="0.25">
      <c r="A422" s="121" t="s">
        <v>18</v>
      </c>
      <c r="B422" s="122"/>
      <c r="C422" s="122"/>
      <c r="D422" s="122"/>
      <c r="E422" s="122"/>
      <c r="F422" s="122"/>
      <c r="G422" s="21">
        <f>$R422/$R420*G420</f>
        <v>0</v>
      </c>
      <c r="H422" s="21">
        <f>$R422/$R420*H420</f>
        <v>0</v>
      </c>
      <c r="I422" s="21">
        <f t="shared" ref="I422" si="538">$R422/$R420*I420</f>
        <v>0</v>
      </c>
      <c r="J422" s="21"/>
      <c r="K422" s="21"/>
      <c r="L422" s="21">
        <f t="shared" ref="L422:N422" si="539">$R422/$R420*L420</f>
        <v>0</v>
      </c>
      <c r="M422" s="21">
        <f t="shared" si="539"/>
        <v>0</v>
      </c>
      <c r="N422" s="21">
        <f t="shared" si="539"/>
        <v>0</v>
      </c>
      <c r="O422" s="21">
        <f>$R422/$R420*O420</f>
        <v>0</v>
      </c>
      <c r="P422" s="21"/>
      <c r="Q422" s="21">
        <f t="shared" ref="Q422" si="540">$R422/$R420*Q420</f>
        <v>0</v>
      </c>
      <c r="R422" s="108"/>
      <c r="S422" s="49"/>
      <c r="T422" s="37">
        <f>T420-T421</f>
        <v>271319.9499999999</v>
      </c>
      <c r="U422" s="37">
        <f>U420-U421</f>
        <v>48343.430000000022</v>
      </c>
      <c r="V422" s="38">
        <f>T422+U422</f>
        <v>319663.37999999989</v>
      </c>
    </row>
    <row r="423" spans="1:22" ht="15" customHeight="1" x14ac:dyDescent="0.25">
      <c r="A423" s="132" t="s">
        <v>17</v>
      </c>
      <c r="B423" s="133"/>
      <c r="C423" s="133"/>
      <c r="D423" s="133"/>
      <c r="E423" s="133"/>
      <c r="F423" s="133"/>
      <c r="G423" s="9"/>
      <c r="H423" s="9"/>
      <c r="I423" s="9"/>
      <c r="J423" s="9"/>
      <c r="K423" s="9"/>
      <c r="L423" s="10">
        <f>L424+L425+L426+L427+L428</f>
        <v>327916.43</v>
      </c>
      <c r="M423" s="9"/>
      <c r="N423" s="9"/>
      <c r="O423" s="9"/>
      <c r="P423" s="9"/>
      <c r="Q423" s="9"/>
      <c r="R423" s="62"/>
      <c r="S423" s="49"/>
      <c r="T423" s="37"/>
      <c r="U423" s="37"/>
      <c r="V423" s="38"/>
    </row>
    <row r="424" spans="1:22" ht="15" customHeight="1" x14ac:dyDescent="0.25">
      <c r="A424" s="118" t="s">
        <v>59</v>
      </c>
      <c r="B424" s="119"/>
      <c r="C424" s="119"/>
      <c r="D424" s="119"/>
      <c r="E424" s="119"/>
      <c r="F424" s="120"/>
      <c r="G424" s="23"/>
      <c r="H424" s="23"/>
      <c r="I424" s="23"/>
      <c r="J424" s="23"/>
      <c r="K424" s="23"/>
      <c r="L424" s="111">
        <v>286533</v>
      </c>
      <c r="M424" s="23"/>
      <c r="N424" s="23"/>
      <c r="O424" s="23"/>
      <c r="P424" s="23"/>
      <c r="Q424" s="23"/>
      <c r="R424" s="64"/>
      <c r="S424" s="54"/>
      <c r="T424" s="42"/>
      <c r="U424" s="42"/>
      <c r="V424" s="47"/>
    </row>
    <row r="425" spans="1:22" ht="32.25" customHeight="1" x14ac:dyDescent="0.25">
      <c r="A425" s="118" t="s">
        <v>86</v>
      </c>
      <c r="B425" s="119"/>
      <c r="C425" s="119"/>
      <c r="D425" s="119"/>
      <c r="E425" s="119"/>
      <c r="F425" s="120"/>
      <c r="G425" s="23"/>
      <c r="H425" s="23"/>
      <c r="I425" s="23"/>
      <c r="J425" s="23"/>
      <c r="K425" s="23"/>
      <c r="L425" s="111">
        <v>41383.43</v>
      </c>
      <c r="M425" s="23"/>
      <c r="N425" s="23"/>
      <c r="O425" s="23"/>
      <c r="P425" s="23"/>
      <c r="Q425" s="23"/>
      <c r="R425" s="64"/>
      <c r="S425" s="54"/>
      <c r="T425" s="42"/>
      <c r="U425" s="42"/>
      <c r="V425" s="47"/>
    </row>
    <row r="426" spans="1:22" ht="21" customHeight="1" x14ac:dyDescent="0.25">
      <c r="A426" s="118"/>
      <c r="B426" s="119"/>
      <c r="C426" s="119"/>
      <c r="D426" s="119"/>
      <c r="E426" s="119"/>
      <c r="F426" s="120"/>
      <c r="G426" s="23"/>
      <c r="H426" s="23"/>
      <c r="I426" s="23"/>
      <c r="J426" s="23"/>
      <c r="K426" s="23"/>
      <c r="L426" s="34"/>
      <c r="M426" s="23"/>
      <c r="N426" s="23"/>
      <c r="O426" s="23"/>
      <c r="P426" s="23"/>
      <c r="Q426" s="23"/>
      <c r="R426" s="64"/>
      <c r="S426" s="54"/>
      <c r="T426" s="42"/>
      <c r="U426" s="42"/>
      <c r="V426" s="47"/>
    </row>
    <row r="427" spans="1:22" ht="21" customHeight="1" x14ac:dyDescent="0.25">
      <c r="A427" s="118"/>
      <c r="B427" s="119"/>
      <c r="C427" s="119"/>
      <c r="D427" s="119"/>
      <c r="E427" s="119"/>
      <c r="F427" s="120"/>
      <c r="G427" s="23"/>
      <c r="H427" s="23"/>
      <c r="I427" s="23"/>
      <c r="J427" s="23"/>
      <c r="K427" s="23"/>
      <c r="L427" s="34"/>
      <c r="M427" s="23"/>
      <c r="N427" s="23"/>
      <c r="O427" s="23"/>
      <c r="P427" s="23"/>
      <c r="Q427" s="23"/>
      <c r="R427" s="64"/>
      <c r="S427" s="54"/>
      <c r="T427" s="42"/>
      <c r="U427" s="42"/>
      <c r="V427" s="47"/>
    </row>
    <row r="428" spans="1:22" ht="21" customHeight="1" x14ac:dyDescent="0.25">
      <c r="A428" s="118"/>
      <c r="B428" s="119"/>
      <c r="C428" s="119"/>
      <c r="D428" s="119"/>
      <c r="E428" s="119"/>
      <c r="F428" s="120"/>
      <c r="G428" s="23"/>
      <c r="H428" s="23"/>
      <c r="I428" s="23"/>
      <c r="J428" s="23"/>
      <c r="K428" s="23"/>
      <c r="L428" s="34"/>
      <c r="M428" s="23"/>
      <c r="N428" s="23"/>
      <c r="O428" s="23"/>
      <c r="P428" s="23"/>
      <c r="Q428" s="23"/>
      <c r="R428" s="64"/>
      <c r="S428" s="54"/>
      <c r="T428" s="42"/>
      <c r="U428" s="42"/>
      <c r="V428" s="47"/>
    </row>
    <row r="429" spans="1:22" ht="15.75" customHeight="1" thickBot="1" x14ac:dyDescent="0.3">
      <c r="A429" s="136" t="s">
        <v>20</v>
      </c>
      <c r="B429" s="137"/>
      <c r="C429" s="137"/>
      <c r="D429" s="137"/>
      <c r="E429" s="137"/>
      <c r="F429" s="137"/>
      <c r="G429" s="14"/>
      <c r="H429" s="14"/>
      <c r="I429" s="14"/>
      <c r="J429" s="14"/>
      <c r="K429" s="14"/>
      <c r="L429" s="26">
        <f>L421-L423</f>
        <v>-178066.43</v>
      </c>
      <c r="M429" s="14"/>
      <c r="N429" s="14"/>
      <c r="O429" s="14"/>
      <c r="P429" s="14"/>
      <c r="Q429" s="14"/>
      <c r="R429" s="63"/>
      <c r="S429" s="52"/>
      <c r="T429" s="39"/>
      <c r="U429" s="39"/>
      <c r="V429" s="45"/>
    </row>
    <row r="430" spans="1:22" ht="33" customHeight="1" x14ac:dyDescent="0.25">
      <c r="A430" s="91" t="s">
        <v>27</v>
      </c>
      <c r="B430" s="100">
        <v>17</v>
      </c>
      <c r="C430" s="12">
        <v>5</v>
      </c>
      <c r="D430" s="13">
        <v>3435.2</v>
      </c>
      <c r="E430" s="13"/>
      <c r="F430" s="13">
        <f t="shared" ref="F430" si="541">D430+E430</f>
        <v>3435.2</v>
      </c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65"/>
      <c r="S430" s="55"/>
      <c r="T430" s="41"/>
      <c r="U430" s="41"/>
      <c r="V430" s="46"/>
    </row>
    <row r="431" spans="1:22" s="3" customFormat="1" ht="21" hidden="1" customHeight="1" x14ac:dyDescent="0.25">
      <c r="A431" s="123" t="s">
        <v>30</v>
      </c>
      <c r="B431" s="124"/>
      <c r="C431" s="124"/>
      <c r="D431" s="124"/>
      <c r="E431" s="124"/>
      <c r="F431" s="124"/>
      <c r="G431" s="11">
        <f t="shared" ref="G431:R431" si="542">$F$430*G$221</f>
        <v>0</v>
      </c>
      <c r="H431" s="11">
        <f t="shared" si="542"/>
        <v>0</v>
      </c>
      <c r="I431" s="11">
        <f t="shared" si="542"/>
        <v>0</v>
      </c>
      <c r="J431" s="11">
        <f t="shared" si="542"/>
        <v>0</v>
      </c>
      <c r="K431" s="11">
        <f t="shared" si="542"/>
        <v>0</v>
      </c>
      <c r="L431" s="11">
        <f t="shared" si="542"/>
        <v>0</v>
      </c>
      <c r="M431" s="11">
        <f t="shared" si="542"/>
        <v>0</v>
      </c>
      <c r="N431" s="11">
        <f t="shared" si="542"/>
        <v>0</v>
      </c>
      <c r="O431" s="11">
        <f t="shared" si="542"/>
        <v>0</v>
      </c>
      <c r="P431" s="11">
        <f t="shared" si="542"/>
        <v>0</v>
      </c>
      <c r="Q431" s="11">
        <f t="shared" si="542"/>
        <v>0</v>
      </c>
      <c r="R431" s="61">
        <f t="shared" si="542"/>
        <v>0</v>
      </c>
      <c r="S431" s="50"/>
      <c r="T431" s="37"/>
      <c r="U431" s="37"/>
      <c r="V431" s="38"/>
    </row>
    <row r="432" spans="1:22" s="3" customFormat="1" ht="21" customHeight="1" x14ac:dyDescent="0.25">
      <c r="A432" s="123" t="s">
        <v>49</v>
      </c>
      <c r="B432" s="124"/>
      <c r="C432" s="124"/>
      <c r="D432" s="124"/>
      <c r="E432" s="124"/>
      <c r="F432" s="124"/>
      <c r="G432" s="11">
        <f t="shared" ref="G432:R432" si="543">$F$430*G$222</f>
        <v>9446.7999999999993</v>
      </c>
      <c r="H432" s="11">
        <f t="shared" si="543"/>
        <v>1030.56</v>
      </c>
      <c r="I432" s="11">
        <f t="shared" si="543"/>
        <v>15458.4</v>
      </c>
      <c r="J432" s="11">
        <f t="shared" si="543"/>
        <v>0</v>
      </c>
      <c r="K432" s="11">
        <f t="shared" si="543"/>
        <v>0</v>
      </c>
      <c r="L432" s="11">
        <f t="shared" si="543"/>
        <v>12710.24</v>
      </c>
      <c r="M432" s="11">
        <f t="shared" si="543"/>
        <v>9171.9839999999986</v>
      </c>
      <c r="N432" s="11">
        <f t="shared" si="543"/>
        <v>8588</v>
      </c>
      <c r="O432" s="11">
        <f t="shared" si="543"/>
        <v>7179.5679999999993</v>
      </c>
      <c r="P432" s="11">
        <f t="shared" si="543"/>
        <v>0</v>
      </c>
      <c r="Q432" s="11">
        <f t="shared" si="543"/>
        <v>12194.96</v>
      </c>
      <c r="R432" s="11">
        <f t="shared" si="543"/>
        <v>75780.512000000002</v>
      </c>
      <c r="S432" s="50"/>
      <c r="T432" s="37"/>
      <c r="U432" s="37"/>
      <c r="V432" s="38"/>
    </row>
    <row r="433" spans="1:22" s="3" customFormat="1" ht="21" customHeight="1" x14ac:dyDescent="0.25">
      <c r="A433" s="123" t="s">
        <v>76</v>
      </c>
      <c r="B433" s="124"/>
      <c r="C433" s="124"/>
      <c r="D433" s="124"/>
      <c r="E433" s="124"/>
      <c r="F433" s="124"/>
      <c r="G433" s="11">
        <f>$F$430*G$223</f>
        <v>9446.7999999999993</v>
      </c>
      <c r="H433" s="11">
        <f t="shared" ref="H433:R433" si="544">$F$430*H$223</f>
        <v>1030.56</v>
      </c>
      <c r="I433" s="11">
        <f t="shared" si="544"/>
        <v>15458.4</v>
      </c>
      <c r="J433" s="11">
        <f t="shared" si="544"/>
        <v>0</v>
      </c>
      <c r="K433" s="11">
        <f t="shared" si="544"/>
        <v>0</v>
      </c>
      <c r="L433" s="11">
        <f t="shared" si="544"/>
        <v>12710.24</v>
      </c>
      <c r="M433" s="11">
        <f t="shared" si="544"/>
        <v>9171.9839999999986</v>
      </c>
      <c r="N433" s="11">
        <f t="shared" si="544"/>
        <v>8588</v>
      </c>
      <c r="O433" s="11">
        <f t="shared" si="544"/>
        <v>7179.5679999999993</v>
      </c>
      <c r="P433" s="11">
        <f t="shared" si="544"/>
        <v>0</v>
      </c>
      <c r="Q433" s="11">
        <f t="shared" si="544"/>
        <v>17588.223999999998</v>
      </c>
      <c r="R433" s="11">
        <f t="shared" si="544"/>
        <v>81173.775999999998</v>
      </c>
      <c r="S433" s="50"/>
      <c r="T433" s="37"/>
      <c r="U433" s="37"/>
      <c r="V433" s="38"/>
    </row>
    <row r="434" spans="1:22" s="8" customFormat="1" ht="21" customHeight="1" x14ac:dyDescent="0.25">
      <c r="A434" s="125" t="s">
        <v>19</v>
      </c>
      <c r="B434" s="126"/>
      <c r="C434" s="126"/>
      <c r="D434" s="126"/>
      <c r="E434" s="126"/>
      <c r="F434" s="126"/>
      <c r="G434" s="10">
        <f>G432*6+G433*6</f>
        <v>113361.59999999999</v>
      </c>
      <c r="H434" s="10">
        <f t="shared" ref="H434" si="545">H432*6+H433*6</f>
        <v>12366.72</v>
      </c>
      <c r="I434" s="10">
        <f t="shared" ref="I434" si="546">I432*6+I433*6</f>
        <v>185500.79999999999</v>
      </c>
      <c r="J434" s="10">
        <f t="shared" ref="J434" si="547">J432*6+J433*6</f>
        <v>0</v>
      </c>
      <c r="K434" s="10">
        <f t="shared" ref="K434" si="548">K432*6+K433*6</f>
        <v>0</v>
      </c>
      <c r="L434" s="10">
        <f t="shared" ref="L434" si="549">L432*6+L433*6</f>
        <v>152522.88</v>
      </c>
      <c r="M434" s="10">
        <f t="shared" ref="M434" si="550">M432*6+M433*6</f>
        <v>110063.80799999999</v>
      </c>
      <c r="N434" s="10">
        <f t="shared" ref="N434" si="551">N432*6+N433*6</f>
        <v>103056</v>
      </c>
      <c r="O434" s="10">
        <f t="shared" ref="O434" si="552">O432*6+O433*6</f>
        <v>86154.815999999992</v>
      </c>
      <c r="P434" s="10">
        <f t="shared" ref="P434" si="553">P432*6+P433*6</f>
        <v>0</v>
      </c>
      <c r="Q434" s="10">
        <f t="shared" ref="Q434" si="554">Q432*6+Q433*6</f>
        <v>178699.10399999999</v>
      </c>
      <c r="R434" s="10">
        <f t="shared" ref="R434" si="555">R432*6+R433*6</f>
        <v>941725.728</v>
      </c>
      <c r="S434" s="51"/>
      <c r="T434" s="38"/>
      <c r="U434" s="38"/>
      <c r="V434" s="38"/>
    </row>
    <row r="435" spans="1:22" ht="15" customHeight="1" x14ac:dyDescent="0.25">
      <c r="A435" s="127" t="s">
        <v>74</v>
      </c>
      <c r="B435" s="128"/>
      <c r="C435" s="128"/>
      <c r="D435" s="128"/>
      <c r="E435" s="128"/>
      <c r="F435" s="128"/>
      <c r="G435" s="21">
        <f>G434</f>
        <v>113361.59999999999</v>
      </c>
      <c r="H435" s="21">
        <f t="shared" ref="H435:R435" si="556">H434</f>
        <v>12366.72</v>
      </c>
      <c r="I435" s="21">
        <f t="shared" si="556"/>
        <v>185500.79999999999</v>
      </c>
      <c r="J435" s="21">
        <f t="shared" si="556"/>
        <v>0</v>
      </c>
      <c r="K435" s="21">
        <f t="shared" si="556"/>
        <v>0</v>
      </c>
      <c r="L435" s="21">
        <f t="shared" si="556"/>
        <v>152522.88</v>
      </c>
      <c r="M435" s="21">
        <f t="shared" si="556"/>
        <v>110063.80799999999</v>
      </c>
      <c r="N435" s="21">
        <f t="shared" si="556"/>
        <v>103056</v>
      </c>
      <c r="O435" s="21">
        <f t="shared" si="556"/>
        <v>86154.815999999992</v>
      </c>
      <c r="P435" s="21">
        <f t="shared" si="556"/>
        <v>0</v>
      </c>
      <c r="Q435" s="21">
        <f t="shared" si="556"/>
        <v>178699.10399999999</v>
      </c>
      <c r="R435" s="106">
        <f t="shared" si="556"/>
        <v>941725.728</v>
      </c>
      <c r="S435" s="49"/>
      <c r="T435" s="37">
        <f>294816.17+361932.66</f>
        <v>656748.82999999996</v>
      </c>
      <c r="U435" s="37">
        <f>53013.84+73171.14</f>
        <v>126184.98</v>
      </c>
      <c r="V435" s="38"/>
    </row>
    <row r="436" spans="1:22" ht="15.75" customHeight="1" x14ac:dyDescent="0.25">
      <c r="A436" s="127" t="s">
        <v>75</v>
      </c>
      <c r="B436" s="128"/>
      <c r="C436" s="128"/>
      <c r="D436" s="128"/>
      <c r="E436" s="128"/>
      <c r="F436" s="128"/>
      <c r="G436" s="21">
        <f>$R436/$R435*G435</f>
        <v>113361.59999999999</v>
      </c>
      <c r="H436" s="21">
        <f t="shared" ref="H436:I436" si="557">$R436/$R435*H435</f>
        <v>12366.72</v>
      </c>
      <c r="I436" s="21">
        <f t="shared" si="557"/>
        <v>185500.79999999999</v>
      </c>
      <c r="J436" s="21"/>
      <c r="K436" s="21"/>
      <c r="L436" s="21">
        <f t="shared" ref="L436:O436" si="558">$R436/$R435*L435</f>
        <v>152522.88</v>
      </c>
      <c r="M436" s="21">
        <f t="shared" si="558"/>
        <v>110063.80799999999</v>
      </c>
      <c r="N436" s="21">
        <f t="shared" si="558"/>
        <v>103056</v>
      </c>
      <c r="O436" s="21">
        <f t="shared" si="558"/>
        <v>86154.815999999992</v>
      </c>
      <c r="P436" s="21"/>
      <c r="Q436" s="21">
        <f t="shared" ref="Q436" si="559">$R436/$R435*Q435</f>
        <v>178699.10399999999</v>
      </c>
      <c r="R436" s="107">
        <f>R435-R437</f>
        <v>941725.728</v>
      </c>
      <c r="S436" s="49">
        <f>R436/R435*100</f>
        <v>100</v>
      </c>
      <c r="T436" s="37">
        <v>343903.16</v>
      </c>
      <c r="U436" s="37">
        <v>68387.86</v>
      </c>
      <c r="V436" s="38"/>
    </row>
    <row r="437" spans="1:22" ht="18.75" customHeight="1" x14ac:dyDescent="0.25">
      <c r="A437" s="121" t="s">
        <v>18</v>
      </c>
      <c r="B437" s="122"/>
      <c r="C437" s="122"/>
      <c r="D437" s="122"/>
      <c r="E437" s="122"/>
      <c r="F437" s="122"/>
      <c r="G437" s="21">
        <f>$R437/$R435*G435</f>
        <v>0</v>
      </c>
      <c r="H437" s="21">
        <f>$R437/$R435*H435</f>
        <v>0</v>
      </c>
      <c r="I437" s="21">
        <f t="shared" ref="I437" si="560">$R437/$R435*I435</f>
        <v>0</v>
      </c>
      <c r="J437" s="21"/>
      <c r="K437" s="21"/>
      <c r="L437" s="21">
        <f t="shared" ref="L437:N437" si="561">$R437/$R435*L435</f>
        <v>0</v>
      </c>
      <c r="M437" s="21">
        <f t="shared" si="561"/>
        <v>0</v>
      </c>
      <c r="N437" s="21">
        <f t="shared" si="561"/>
        <v>0</v>
      </c>
      <c r="O437" s="21">
        <f>$R437/$R435*O435</f>
        <v>0</v>
      </c>
      <c r="P437" s="21"/>
      <c r="Q437" s="21">
        <f t="shared" ref="Q437" si="562">$R437/$R435*Q435</f>
        <v>0</v>
      </c>
      <c r="R437" s="108"/>
      <c r="S437" s="49"/>
      <c r="T437" s="37">
        <f>T435-T436</f>
        <v>312845.67</v>
      </c>
      <c r="U437" s="37">
        <f>U435-U436</f>
        <v>57797.119999999995</v>
      </c>
      <c r="V437" s="38">
        <f>T437+U437</f>
        <v>370642.79</v>
      </c>
    </row>
    <row r="438" spans="1:22" ht="15" customHeight="1" x14ac:dyDescent="0.25">
      <c r="A438" s="132" t="s">
        <v>17</v>
      </c>
      <c r="B438" s="133"/>
      <c r="C438" s="133"/>
      <c r="D438" s="133"/>
      <c r="E438" s="133"/>
      <c r="F438" s="133"/>
      <c r="G438" s="9"/>
      <c r="H438" s="9"/>
      <c r="I438" s="9"/>
      <c r="J438" s="9"/>
      <c r="K438" s="9"/>
      <c r="L438" s="10">
        <f>L439+L440+L441+L442+L443</f>
        <v>234518.84999999998</v>
      </c>
      <c r="M438" s="9"/>
      <c r="N438" s="9"/>
      <c r="O438" s="9"/>
      <c r="P438" s="9"/>
      <c r="Q438" s="9"/>
      <c r="R438" s="62"/>
      <c r="S438" s="49"/>
      <c r="T438" s="37"/>
      <c r="U438" s="37"/>
      <c r="V438" s="38"/>
    </row>
    <row r="439" spans="1:22" ht="15" customHeight="1" x14ac:dyDescent="0.25">
      <c r="A439" s="118" t="s">
        <v>87</v>
      </c>
      <c r="B439" s="119"/>
      <c r="C439" s="119"/>
      <c r="D439" s="119"/>
      <c r="E439" s="119"/>
      <c r="F439" s="120"/>
      <c r="G439" s="23"/>
      <c r="H439" s="23"/>
      <c r="I439" s="23"/>
      <c r="J439" s="23"/>
      <c r="K439" s="23"/>
      <c r="L439" s="115">
        <v>78172.95</v>
      </c>
      <c r="M439" s="23"/>
      <c r="N439" s="23"/>
      <c r="O439" s="23"/>
      <c r="P439" s="23"/>
      <c r="Q439" s="23"/>
      <c r="R439" s="64"/>
      <c r="S439" s="54"/>
      <c r="T439" s="42"/>
      <c r="U439" s="42"/>
      <c r="V439" s="47"/>
    </row>
    <row r="440" spans="1:22" ht="18" customHeight="1" x14ac:dyDescent="0.25">
      <c r="A440" s="118" t="s">
        <v>88</v>
      </c>
      <c r="B440" s="119"/>
      <c r="C440" s="119"/>
      <c r="D440" s="119"/>
      <c r="E440" s="119"/>
      <c r="F440" s="120"/>
      <c r="G440" s="23"/>
      <c r="H440" s="23"/>
      <c r="I440" s="23"/>
      <c r="J440" s="23"/>
      <c r="K440" s="23"/>
      <c r="L440" s="115">
        <v>78172.95</v>
      </c>
      <c r="M440" s="23"/>
      <c r="N440" s="23"/>
      <c r="O440" s="23"/>
      <c r="P440" s="23"/>
      <c r="Q440" s="23"/>
      <c r="R440" s="64"/>
      <c r="S440" s="54"/>
      <c r="T440" s="42"/>
      <c r="U440" s="42"/>
      <c r="V440" s="47"/>
    </row>
    <row r="441" spans="1:22" ht="21" customHeight="1" x14ac:dyDescent="0.25">
      <c r="A441" s="118" t="s">
        <v>89</v>
      </c>
      <c r="B441" s="119"/>
      <c r="C441" s="119"/>
      <c r="D441" s="119"/>
      <c r="E441" s="119"/>
      <c r="F441" s="120"/>
      <c r="G441" s="23"/>
      <c r="H441" s="23"/>
      <c r="I441" s="23"/>
      <c r="J441" s="23"/>
      <c r="K441" s="23"/>
      <c r="L441" s="115">
        <v>78172.95</v>
      </c>
      <c r="M441" s="23"/>
      <c r="N441" s="23"/>
      <c r="O441" s="23"/>
      <c r="P441" s="23"/>
      <c r="Q441" s="23"/>
      <c r="R441" s="64"/>
      <c r="S441" s="54"/>
      <c r="T441" s="42"/>
      <c r="U441" s="42"/>
      <c r="V441" s="47"/>
    </row>
    <row r="442" spans="1:22" ht="21" customHeight="1" x14ac:dyDescent="0.25">
      <c r="A442" s="118"/>
      <c r="B442" s="119"/>
      <c r="C442" s="119"/>
      <c r="D442" s="119"/>
      <c r="E442" s="119"/>
      <c r="F442" s="120"/>
      <c r="G442" s="23"/>
      <c r="H442" s="23"/>
      <c r="I442" s="23"/>
      <c r="J442" s="23"/>
      <c r="K442" s="23"/>
      <c r="L442" s="34"/>
      <c r="M442" s="23"/>
      <c r="N442" s="23"/>
      <c r="O442" s="23"/>
      <c r="P442" s="23"/>
      <c r="Q442" s="23"/>
      <c r="R442" s="64"/>
      <c r="S442" s="54"/>
      <c r="T442" s="42"/>
      <c r="U442" s="42"/>
      <c r="V442" s="47"/>
    </row>
    <row r="443" spans="1:22" ht="21" customHeight="1" x14ac:dyDescent="0.25">
      <c r="A443" s="118"/>
      <c r="B443" s="119"/>
      <c r="C443" s="119"/>
      <c r="D443" s="119"/>
      <c r="E443" s="119"/>
      <c r="F443" s="120"/>
      <c r="G443" s="23"/>
      <c r="H443" s="23"/>
      <c r="I443" s="23"/>
      <c r="J443" s="23"/>
      <c r="K443" s="23"/>
      <c r="L443" s="34"/>
      <c r="M443" s="23"/>
      <c r="N443" s="23"/>
      <c r="O443" s="23"/>
      <c r="P443" s="23"/>
      <c r="Q443" s="23"/>
      <c r="R443" s="64"/>
      <c r="S443" s="54"/>
      <c r="T443" s="42"/>
      <c r="U443" s="42"/>
      <c r="V443" s="47"/>
    </row>
    <row r="444" spans="1:22" ht="15.75" customHeight="1" thickBot="1" x14ac:dyDescent="0.3">
      <c r="A444" s="134" t="s">
        <v>20</v>
      </c>
      <c r="B444" s="135"/>
      <c r="C444" s="135"/>
      <c r="D444" s="135"/>
      <c r="E444" s="135"/>
      <c r="F444" s="135"/>
      <c r="G444" s="23"/>
      <c r="H444" s="23"/>
      <c r="I444" s="23"/>
      <c r="J444" s="23"/>
      <c r="K444" s="23"/>
      <c r="L444" s="28">
        <f>L436-L438</f>
        <v>-81995.969999999972</v>
      </c>
      <c r="M444" s="23"/>
      <c r="N444" s="23"/>
      <c r="O444" s="23"/>
      <c r="P444" s="23"/>
      <c r="Q444" s="23"/>
      <c r="R444" s="64"/>
      <c r="S444" s="54"/>
      <c r="T444" s="42"/>
      <c r="U444" s="42"/>
      <c r="V444" s="47"/>
    </row>
    <row r="445" spans="1:22" ht="33" customHeight="1" x14ac:dyDescent="0.25">
      <c r="A445" s="90" t="s">
        <v>27</v>
      </c>
      <c r="B445" s="99">
        <v>19</v>
      </c>
      <c r="C445" s="7">
        <v>5</v>
      </c>
      <c r="D445" s="6">
        <v>4487.7</v>
      </c>
      <c r="E445" s="6"/>
      <c r="F445" s="6">
        <f t="shared" ref="F445" si="563">D445+E445</f>
        <v>4487.7</v>
      </c>
      <c r="G445" s="73"/>
      <c r="H445" s="73"/>
      <c r="I445" s="73"/>
      <c r="J445" s="73"/>
      <c r="K445" s="73"/>
      <c r="L445" s="73"/>
      <c r="M445" s="73"/>
      <c r="N445" s="73"/>
      <c r="O445" s="73"/>
      <c r="P445" s="73"/>
      <c r="Q445" s="73"/>
      <c r="R445" s="27"/>
      <c r="S445" s="48"/>
      <c r="T445" s="36"/>
      <c r="U445" s="36"/>
      <c r="V445" s="40"/>
    </row>
    <row r="446" spans="1:22" s="3" customFormat="1" ht="21" hidden="1" customHeight="1" x14ac:dyDescent="0.25">
      <c r="A446" s="123" t="s">
        <v>30</v>
      </c>
      <c r="B446" s="124"/>
      <c r="C446" s="124"/>
      <c r="D446" s="124"/>
      <c r="E446" s="124"/>
      <c r="F446" s="124"/>
      <c r="G446" s="11">
        <f t="shared" ref="G446:R446" si="564">$F$445*G$221</f>
        <v>0</v>
      </c>
      <c r="H446" s="11">
        <f t="shared" si="564"/>
        <v>0</v>
      </c>
      <c r="I446" s="11">
        <f t="shared" si="564"/>
        <v>0</v>
      </c>
      <c r="J446" s="11">
        <f t="shared" si="564"/>
        <v>0</v>
      </c>
      <c r="K446" s="11">
        <f t="shared" si="564"/>
        <v>0</v>
      </c>
      <c r="L446" s="11">
        <f t="shared" si="564"/>
        <v>0</v>
      </c>
      <c r="M446" s="11">
        <f t="shared" si="564"/>
        <v>0</v>
      </c>
      <c r="N446" s="11">
        <f t="shared" si="564"/>
        <v>0</v>
      </c>
      <c r="O446" s="11">
        <f t="shared" si="564"/>
        <v>0</v>
      </c>
      <c r="P446" s="11">
        <f t="shared" si="564"/>
        <v>0</v>
      </c>
      <c r="Q446" s="11">
        <f t="shared" si="564"/>
        <v>0</v>
      </c>
      <c r="R446" s="61">
        <f t="shared" si="564"/>
        <v>0</v>
      </c>
      <c r="S446" s="50"/>
      <c r="T446" s="37"/>
      <c r="U446" s="37"/>
      <c r="V446" s="38"/>
    </row>
    <row r="447" spans="1:22" s="3" customFormat="1" ht="21" customHeight="1" x14ac:dyDescent="0.25">
      <c r="A447" s="123" t="s">
        <v>49</v>
      </c>
      <c r="B447" s="124"/>
      <c r="C447" s="124"/>
      <c r="D447" s="124"/>
      <c r="E447" s="124"/>
      <c r="F447" s="124"/>
      <c r="G447" s="11">
        <f t="shared" ref="G447:R447" si="565">$F$445*G$222</f>
        <v>12341.174999999999</v>
      </c>
      <c r="H447" s="11">
        <f t="shared" si="565"/>
        <v>1346.31</v>
      </c>
      <c r="I447" s="11">
        <f t="shared" si="565"/>
        <v>20194.649999999998</v>
      </c>
      <c r="J447" s="11">
        <f t="shared" si="565"/>
        <v>0</v>
      </c>
      <c r="K447" s="11">
        <f t="shared" si="565"/>
        <v>0</v>
      </c>
      <c r="L447" s="11">
        <f t="shared" si="565"/>
        <v>16604.490000000002</v>
      </c>
      <c r="M447" s="11">
        <f t="shared" si="565"/>
        <v>11982.159</v>
      </c>
      <c r="N447" s="11">
        <f t="shared" si="565"/>
        <v>11219.25</v>
      </c>
      <c r="O447" s="11">
        <f t="shared" si="565"/>
        <v>9379.2929999999997</v>
      </c>
      <c r="P447" s="11">
        <f t="shared" si="565"/>
        <v>0</v>
      </c>
      <c r="Q447" s="11">
        <f t="shared" si="565"/>
        <v>15931.334999999999</v>
      </c>
      <c r="R447" s="11">
        <f t="shared" si="565"/>
        <v>98998.662000000011</v>
      </c>
      <c r="S447" s="50"/>
      <c r="T447" s="37"/>
      <c r="U447" s="37"/>
      <c r="V447" s="38"/>
    </row>
    <row r="448" spans="1:22" s="3" customFormat="1" ht="21" customHeight="1" x14ac:dyDescent="0.25">
      <c r="A448" s="123" t="s">
        <v>76</v>
      </c>
      <c r="B448" s="124"/>
      <c r="C448" s="124"/>
      <c r="D448" s="124"/>
      <c r="E448" s="124"/>
      <c r="F448" s="124"/>
      <c r="G448" s="11">
        <f>$F$445*G$223</f>
        <v>12341.174999999999</v>
      </c>
      <c r="H448" s="11">
        <f t="shared" ref="H448:R448" si="566">$F$445*H$223</f>
        <v>1346.31</v>
      </c>
      <c r="I448" s="11">
        <f t="shared" si="566"/>
        <v>20194.649999999998</v>
      </c>
      <c r="J448" s="11">
        <f t="shared" si="566"/>
        <v>0</v>
      </c>
      <c r="K448" s="11">
        <f t="shared" si="566"/>
        <v>0</v>
      </c>
      <c r="L448" s="11">
        <f t="shared" si="566"/>
        <v>16604.490000000002</v>
      </c>
      <c r="M448" s="11">
        <f t="shared" si="566"/>
        <v>11982.159</v>
      </c>
      <c r="N448" s="11">
        <f t="shared" si="566"/>
        <v>11219.25</v>
      </c>
      <c r="O448" s="11">
        <f t="shared" si="566"/>
        <v>9379.2929999999997</v>
      </c>
      <c r="P448" s="11">
        <f t="shared" si="566"/>
        <v>0</v>
      </c>
      <c r="Q448" s="11">
        <f t="shared" si="566"/>
        <v>22977.024000000001</v>
      </c>
      <c r="R448" s="11">
        <f t="shared" si="566"/>
        <v>106044.35100000001</v>
      </c>
      <c r="S448" s="50"/>
      <c r="T448" s="37"/>
      <c r="U448" s="37"/>
      <c r="V448" s="38"/>
    </row>
    <row r="449" spans="1:22" s="8" customFormat="1" ht="21" customHeight="1" x14ac:dyDescent="0.25">
      <c r="A449" s="125" t="s">
        <v>19</v>
      </c>
      <c r="B449" s="126"/>
      <c r="C449" s="126"/>
      <c r="D449" s="126"/>
      <c r="E449" s="126"/>
      <c r="F449" s="126"/>
      <c r="G449" s="10">
        <f>G447*6+G448*6</f>
        <v>148094.09999999998</v>
      </c>
      <c r="H449" s="10">
        <f t="shared" ref="H449" si="567">H447*6+H448*6</f>
        <v>16155.72</v>
      </c>
      <c r="I449" s="10">
        <f t="shared" ref="I449" si="568">I447*6+I448*6</f>
        <v>242335.8</v>
      </c>
      <c r="J449" s="10">
        <f t="shared" ref="J449" si="569">J447*6+J448*6</f>
        <v>0</v>
      </c>
      <c r="K449" s="10">
        <f t="shared" ref="K449" si="570">K447*6+K448*6</f>
        <v>0</v>
      </c>
      <c r="L449" s="10">
        <f t="shared" ref="L449" si="571">L447*6+L448*6</f>
        <v>199253.88</v>
      </c>
      <c r="M449" s="10">
        <f t="shared" ref="M449" si="572">M447*6+M448*6</f>
        <v>143785.908</v>
      </c>
      <c r="N449" s="10">
        <f t="shared" ref="N449" si="573">N447*6+N448*6</f>
        <v>134631</v>
      </c>
      <c r="O449" s="10">
        <f t="shared" ref="O449" si="574">O447*6+O448*6</f>
        <v>112551.516</v>
      </c>
      <c r="P449" s="10">
        <f t="shared" ref="P449" si="575">P447*6+P448*6</f>
        <v>0</v>
      </c>
      <c r="Q449" s="10">
        <f t="shared" ref="Q449" si="576">Q447*6+Q448*6</f>
        <v>233450.15399999998</v>
      </c>
      <c r="R449" s="10">
        <f t="shared" ref="R449" si="577">R447*6+R448*6</f>
        <v>1230258.0780000002</v>
      </c>
      <c r="S449" s="51"/>
      <c r="T449" s="38"/>
      <c r="U449" s="38"/>
      <c r="V449" s="38"/>
    </row>
    <row r="450" spans="1:22" ht="15" customHeight="1" x14ac:dyDescent="0.25">
      <c r="A450" s="127" t="s">
        <v>74</v>
      </c>
      <c r="B450" s="128"/>
      <c r="C450" s="128"/>
      <c r="D450" s="128"/>
      <c r="E450" s="128"/>
      <c r="F450" s="128"/>
      <c r="G450" s="21">
        <f>G449</f>
        <v>148094.09999999998</v>
      </c>
      <c r="H450" s="21">
        <f t="shared" ref="H450:R450" si="578">H449</f>
        <v>16155.72</v>
      </c>
      <c r="I450" s="21">
        <f t="shared" si="578"/>
        <v>242335.8</v>
      </c>
      <c r="J450" s="21">
        <f t="shared" si="578"/>
        <v>0</v>
      </c>
      <c r="K450" s="21">
        <f t="shared" si="578"/>
        <v>0</v>
      </c>
      <c r="L450" s="21">
        <f t="shared" si="578"/>
        <v>199253.88</v>
      </c>
      <c r="M450" s="21">
        <f t="shared" si="578"/>
        <v>143785.908</v>
      </c>
      <c r="N450" s="21">
        <f t="shared" si="578"/>
        <v>134631</v>
      </c>
      <c r="O450" s="21">
        <f t="shared" si="578"/>
        <v>112551.516</v>
      </c>
      <c r="P450" s="21">
        <f t="shared" si="578"/>
        <v>0</v>
      </c>
      <c r="Q450" s="21">
        <f t="shared" si="578"/>
        <v>233450.15399999998</v>
      </c>
      <c r="R450" s="106">
        <f t="shared" si="578"/>
        <v>1230258.0780000002</v>
      </c>
      <c r="S450" s="49"/>
      <c r="T450" s="37">
        <f>261197.94+472823.94</f>
        <v>734021.88</v>
      </c>
      <c r="U450" s="37">
        <f>52309.08+95589</f>
        <v>147898.08000000002</v>
      </c>
      <c r="V450" s="38"/>
    </row>
    <row r="451" spans="1:22" ht="15.75" customHeight="1" x14ac:dyDescent="0.25">
      <c r="A451" s="127" t="s">
        <v>75</v>
      </c>
      <c r="B451" s="128"/>
      <c r="C451" s="128"/>
      <c r="D451" s="128"/>
      <c r="E451" s="128"/>
      <c r="F451" s="128"/>
      <c r="G451" s="21">
        <f>$R451/$R450*G450</f>
        <v>148094.09999999998</v>
      </c>
      <c r="H451" s="21">
        <f t="shared" ref="H451:I451" si="579">$R451/$R450*H450</f>
        <v>16155.72</v>
      </c>
      <c r="I451" s="21">
        <f t="shared" si="579"/>
        <v>242335.8</v>
      </c>
      <c r="J451" s="21"/>
      <c r="K451" s="21"/>
      <c r="L451" s="21">
        <f t="shared" ref="L451:O451" si="580">$R451/$R450*L450</f>
        <v>199253.88</v>
      </c>
      <c r="M451" s="21">
        <f t="shared" si="580"/>
        <v>143785.908</v>
      </c>
      <c r="N451" s="21">
        <f t="shared" si="580"/>
        <v>134631</v>
      </c>
      <c r="O451" s="21">
        <f t="shared" si="580"/>
        <v>112551.516</v>
      </c>
      <c r="P451" s="21"/>
      <c r="Q451" s="21">
        <f t="shared" ref="Q451" si="581">$R451/$R450*Q450</f>
        <v>233450.15399999998</v>
      </c>
      <c r="R451" s="107">
        <f>R450-R452</f>
        <v>1230258.0780000002</v>
      </c>
      <c r="S451" s="49">
        <f>R451/R450*100</f>
        <v>100</v>
      </c>
      <c r="T451" s="37">
        <v>486505.75</v>
      </c>
      <c r="U451" s="37">
        <v>97979.11</v>
      </c>
      <c r="V451" s="38"/>
    </row>
    <row r="452" spans="1:22" ht="18.75" customHeight="1" x14ac:dyDescent="0.25">
      <c r="A452" s="121" t="s">
        <v>18</v>
      </c>
      <c r="B452" s="122"/>
      <c r="C452" s="122"/>
      <c r="D452" s="122"/>
      <c r="E452" s="122"/>
      <c r="F452" s="122"/>
      <c r="G452" s="21">
        <f>$R452/$R450*G450</f>
        <v>0</v>
      </c>
      <c r="H452" s="21">
        <f>$R452/$R450*H450</f>
        <v>0</v>
      </c>
      <c r="I452" s="21">
        <f t="shared" ref="I452" si="582">$R452/$R450*I450</f>
        <v>0</v>
      </c>
      <c r="J452" s="21"/>
      <c r="K452" s="21"/>
      <c r="L452" s="21">
        <f t="shared" ref="L452:N452" si="583">$R452/$R450*L450</f>
        <v>0</v>
      </c>
      <c r="M452" s="21">
        <f t="shared" si="583"/>
        <v>0</v>
      </c>
      <c r="N452" s="21">
        <f t="shared" si="583"/>
        <v>0</v>
      </c>
      <c r="O452" s="21">
        <f>$R452/$R450*O450</f>
        <v>0</v>
      </c>
      <c r="P452" s="21"/>
      <c r="Q452" s="21">
        <f t="shared" ref="Q452" si="584">$R452/$R450*Q450</f>
        <v>0</v>
      </c>
      <c r="R452" s="108"/>
      <c r="S452" s="49"/>
      <c r="T452" s="37">
        <f>T450-T451</f>
        <v>247516.13</v>
      </c>
      <c r="U452" s="37">
        <f>U450-U451</f>
        <v>49918.970000000016</v>
      </c>
      <c r="V452" s="38">
        <f>T452+U452</f>
        <v>297435.10000000003</v>
      </c>
    </row>
    <row r="453" spans="1:22" ht="15" customHeight="1" x14ac:dyDescent="0.25">
      <c r="A453" s="132" t="s">
        <v>17</v>
      </c>
      <c r="B453" s="133"/>
      <c r="C453" s="133"/>
      <c r="D453" s="133"/>
      <c r="E453" s="133"/>
      <c r="F453" s="133"/>
      <c r="G453" s="9"/>
      <c r="H453" s="9"/>
      <c r="I453" s="9"/>
      <c r="J453" s="9"/>
      <c r="K453" s="9"/>
      <c r="L453" s="10">
        <f>L454+L455+L456+L457+L458</f>
        <v>9898.33</v>
      </c>
      <c r="M453" s="9"/>
      <c r="N453" s="9"/>
      <c r="O453" s="9"/>
      <c r="P453" s="9"/>
      <c r="Q453" s="9"/>
      <c r="R453" s="62"/>
      <c r="S453" s="49"/>
      <c r="T453" s="37"/>
      <c r="U453" s="37"/>
      <c r="V453" s="38"/>
    </row>
    <row r="454" spans="1:22" ht="22.5" customHeight="1" x14ac:dyDescent="0.25">
      <c r="A454" s="118" t="s">
        <v>79</v>
      </c>
      <c r="B454" s="119"/>
      <c r="C454" s="119"/>
      <c r="D454" s="119"/>
      <c r="E454" s="119"/>
      <c r="F454" s="120"/>
      <c r="G454" s="23"/>
      <c r="H454" s="23"/>
      <c r="I454" s="23"/>
      <c r="J454" s="23"/>
      <c r="K454" s="23"/>
      <c r="L454" s="112">
        <v>9898.33</v>
      </c>
      <c r="M454" s="23"/>
      <c r="N454" s="23"/>
      <c r="O454" s="23"/>
      <c r="P454" s="23"/>
      <c r="Q454" s="23"/>
      <c r="R454" s="64"/>
      <c r="S454" s="54"/>
      <c r="T454" s="42"/>
      <c r="U454" s="42"/>
      <c r="V454" s="47"/>
    </row>
    <row r="455" spans="1:22" ht="15.75" customHeight="1" x14ac:dyDescent="0.25">
      <c r="A455" s="118"/>
      <c r="B455" s="119"/>
      <c r="C455" s="119"/>
      <c r="D455" s="119"/>
      <c r="E455" s="119"/>
      <c r="F455" s="120"/>
      <c r="G455" s="23"/>
      <c r="H455" s="23"/>
      <c r="I455" s="23"/>
      <c r="J455" s="23"/>
      <c r="K455" s="23"/>
      <c r="L455" s="34"/>
      <c r="M455" s="23"/>
      <c r="N455" s="23"/>
      <c r="O455" s="23"/>
      <c r="P455" s="23"/>
      <c r="Q455" s="23"/>
      <c r="R455" s="64"/>
      <c r="S455" s="54"/>
      <c r="T455" s="42"/>
      <c r="U455" s="42"/>
      <c r="V455" s="47"/>
    </row>
    <row r="456" spans="1:22" ht="21" customHeight="1" x14ac:dyDescent="0.25">
      <c r="A456" s="118"/>
      <c r="B456" s="119"/>
      <c r="C456" s="119"/>
      <c r="D456" s="119"/>
      <c r="E456" s="119"/>
      <c r="F456" s="120"/>
      <c r="G456" s="23"/>
      <c r="H456" s="23"/>
      <c r="I456" s="23"/>
      <c r="J456" s="23"/>
      <c r="K456" s="23"/>
      <c r="L456" s="34"/>
      <c r="M456" s="23"/>
      <c r="N456" s="23"/>
      <c r="O456" s="23"/>
      <c r="P456" s="23"/>
      <c r="Q456" s="23"/>
      <c r="R456" s="64"/>
      <c r="S456" s="54"/>
      <c r="T456" s="42"/>
      <c r="U456" s="42"/>
      <c r="V456" s="47"/>
    </row>
    <row r="457" spans="1:22" ht="21" customHeight="1" x14ac:dyDescent="0.25">
      <c r="A457" s="118"/>
      <c r="B457" s="119"/>
      <c r="C457" s="119"/>
      <c r="D457" s="119"/>
      <c r="E457" s="119"/>
      <c r="F457" s="120"/>
      <c r="G457" s="23"/>
      <c r="H457" s="23"/>
      <c r="I457" s="23"/>
      <c r="J457" s="23"/>
      <c r="K457" s="23"/>
      <c r="L457" s="34"/>
      <c r="M457" s="23"/>
      <c r="N457" s="23"/>
      <c r="O457" s="23"/>
      <c r="P457" s="23"/>
      <c r="Q457" s="23"/>
      <c r="R457" s="64"/>
      <c r="S457" s="54"/>
      <c r="T457" s="42"/>
      <c r="U457" s="42"/>
      <c r="V457" s="47"/>
    </row>
    <row r="458" spans="1:22" ht="21" customHeight="1" x14ac:dyDescent="0.25">
      <c r="A458" s="118"/>
      <c r="B458" s="119"/>
      <c r="C458" s="119"/>
      <c r="D458" s="119"/>
      <c r="E458" s="119"/>
      <c r="F458" s="120"/>
      <c r="G458" s="23"/>
      <c r="H458" s="23"/>
      <c r="I458" s="23"/>
      <c r="J458" s="23"/>
      <c r="K458" s="23"/>
      <c r="L458" s="34"/>
      <c r="M458" s="23"/>
      <c r="N458" s="23"/>
      <c r="O458" s="23"/>
      <c r="P458" s="23"/>
      <c r="Q458" s="23"/>
      <c r="R458" s="64"/>
      <c r="S458" s="54"/>
      <c r="T458" s="42"/>
      <c r="U458" s="42"/>
      <c r="V458" s="47"/>
    </row>
    <row r="459" spans="1:22" ht="15.75" customHeight="1" thickBot="1" x14ac:dyDescent="0.3">
      <c r="A459" s="136" t="s">
        <v>20</v>
      </c>
      <c r="B459" s="137"/>
      <c r="C459" s="137"/>
      <c r="D459" s="137"/>
      <c r="E459" s="137"/>
      <c r="F459" s="137"/>
      <c r="G459" s="14"/>
      <c r="H459" s="14"/>
      <c r="I459" s="14"/>
      <c r="J459" s="14"/>
      <c r="K459" s="14"/>
      <c r="L459" s="26">
        <f>L451-L453</f>
        <v>189355.55000000002</v>
      </c>
      <c r="M459" s="14"/>
      <c r="N459" s="14"/>
      <c r="O459" s="14"/>
      <c r="P459" s="14"/>
      <c r="Q459" s="14"/>
      <c r="R459" s="63"/>
      <c r="S459" s="52"/>
      <c r="T459" s="39"/>
      <c r="U459" s="39"/>
      <c r="V459" s="45"/>
    </row>
    <row r="460" spans="1:22" ht="33" customHeight="1" x14ac:dyDescent="0.25">
      <c r="A460" s="91" t="s">
        <v>27</v>
      </c>
      <c r="B460" s="100">
        <v>22</v>
      </c>
      <c r="C460" s="12">
        <v>5</v>
      </c>
      <c r="D460" s="13">
        <v>2247.1999999999998</v>
      </c>
      <c r="E460" s="13">
        <v>502.7</v>
      </c>
      <c r="F460" s="13">
        <f t="shared" ref="F460" si="585">D460+E460</f>
        <v>2749.8999999999996</v>
      </c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65"/>
      <c r="S460" s="55"/>
      <c r="T460" s="41"/>
      <c r="U460" s="41"/>
      <c r="V460" s="46"/>
    </row>
    <row r="461" spans="1:22" s="3" customFormat="1" ht="21" hidden="1" customHeight="1" x14ac:dyDescent="0.25">
      <c r="A461" s="123" t="s">
        <v>30</v>
      </c>
      <c r="B461" s="124"/>
      <c r="C461" s="124"/>
      <c r="D461" s="124"/>
      <c r="E461" s="124"/>
      <c r="F461" s="124"/>
      <c r="G461" s="11">
        <f t="shared" ref="G461:R461" si="586">$F$460*G$221</f>
        <v>0</v>
      </c>
      <c r="H461" s="11">
        <f t="shared" si="586"/>
        <v>0</v>
      </c>
      <c r="I461" s="11">
        <f t="shared" si="586"/>
        <v>0</v>
      </c>
      <c r="J461" s="11">
        <f t="shared" si="586"/>
        <v>0</v>
      </c>
      <c r="K461" s="11">
        <f t="shared" si="586"/>
        <v>0</v>
      </c>
      <c r="L461" s="11">
        <f t="shared" si="586"/>
        <v>0</v>
      </c>
      <c r="M461" s="11">
        <f t="shared" si="586"/>
        <v>0</v>
      </c>
      <c r="N461" s="11">
        <f t="shared" si="586"/>
        <v>0</v>
      </c>
      <c r="O461" s="11">
        <f t="shared" si="586"/>
        <v>0</v>
      </c>
      <c r="P461" s="11">
        <f t="shared" si="586"/>
        <v>0</v>
      </c>
      <c r="Q461" s="11">
        <f t="shared" si="586"/>
        <v>0</v>
      </c>
      <c r="R461" s="61">
        <f t="shared" si="586"/>
        <v>0</v>
      </c>
      <c r="S461" s="50"/>
      <c r="T461" s="37"/>
      <c r="U461" s="37"/>
      <c r="V461" s="38"/>
    </row>
    <row r="462" spans="1:22" s="3" customFormat="1" ht="21" customHeight="1" x14ac:dyDescent="0.25">
      <c r="A462" s="123" t="s">
        <v>49</v>
      </c>
      <c r="B462" s="124"/>
      <c r="C462" s="124"/>
      <c r="D462" s="124"/>
      <c r="E462" s="124"/>
      <c r="F462" s="124"/>
      <c r="G462" s="11">
        <f t="shared" ref="G462:R462" si="587">$F$460*G$222</f>
        <v>7562.2249999999985</v>
      </c>
      <c r="H462" s="11">
        <f t="shared" si="587"/>
        <v>824.96999999999991</v>
      </c>
      <c r="I462" s="11">
        <f t="shared" si="587"/>
        <v>12374.55</v>
      </c>
      <c r="J462" s="11">
        <f t="shared" si="587"/>
        <v>0</v>
      </c>
      <c r="K462" s="11">
        <f t="shared" si="587"/>
        <v>0</v>
      </c>
      <c r="L462" s="11">
        <f t="shared" si="587"/>
        <v>10174.629999999999</v>
      </c>
      <c r="M462" s="11">
        <f t="shared" si="587"/>
        <v>7342.2329999999993</v>
      </c>
      <c r="N462" s="11">
        <f t="shared" si="587"/>
        <v>6874.7499999999991</v>
      </c>
      <c r="O462" s="11">
        <f t="shared" si="587"/>
        <v>5747.2909999999993</v>
      </c>
      <c r="P462" s="11">
        <f t="shared" si="587"/>
        <v>0</v>
      </c>
      <c r="Q462" s="11">
        <f t="shared" si="587"/>
        <v>9762.1449999999986</v>
      </c>
      <c r="R462" s="11">
        <f t="shared" si="587"/>
        <v>60662.794000000002</v>
      </c>
      <c r="S462" s="50"/>
      <c r="T462" s="37"/>
      <c r="U462" s="37"/>
      <c r="V462" s="38"/>
    </row>
    <row r="463" spans="1:22" s="3" customFormat="1" ht="21" customHeight="1" x14ac:dyDescent="0.25">
      <c r="A463" s="123" t="s">
        <v>76</v>
      </c>
      <c r="B463" s="124"/>
      <c r="C463" s="124"/>
      <c r="D463" s="124"/>
      <c r="E463" s="124"/>
      <c r="F463" s="124"/>
      <c r="G463" s="11">
        <f>$F$460*G$223</f>
        <v>7562.2249999999985</v>
      </c>
      <c r="H463" s="11">
        <f t="shared" ref="H463:R463" si="588">$F$460*H$223</f>
        <v>824.96999999999991</v>
      </c>
      <c r="I463" s="11">
        <f t="shared" si="588"/>
        <v>12374.55</v>
      </c>
      <c r="J463" s="11">
        <f t="shared" si="588"/>
        <v>0</v>
      </c>
      <c r="K463" s="11">
        <f t="shared" si="588"/>
        <v>0</v>
      </c>
      <c r="L463" s="11">
        <f t="shared" si="588"/>
        <v>10174.629999999999</v>
      </c>
      <c r="M463" s="11">
        <f t="shared" si="588"/>
        <v>7342.2329999999993</v>
      </c>
      <c r="N463" s="11">
        <f t="shared" si="588"/>
        <v>6874.7499999999991</v>
      </c>
      <c r="O463" s="11">
        <f t="shared" si="588"/>
        <v>5747.2909999999993</v>
      </c>
      <c r="P463" s="11">
        <f t="shared" si="588"/>
        <v>0</v>
      </c>
      <c r="Q463" s="11">
        <f t="shared" si="588"/>
        <v>14079.487999999998</v>
      </c>
      <c r="R463" s="11">
        <f t="shared" si="588"/>
        <v>64980.136999999995</v>
      </c>
      <c r="S463" s="50"/>
      <c r="T463" s="37"/>
      <c r="U463" s="37"/>
      <c r="V463" s="38"/>
    </row>
    <row r="464" spans="1:22" s="8" customFormat="1" ht="21" customHeight="1" x14ac:dyDescent="0.25">
      <c r="A464" s="125" t="s">
        <v>19</v>
      </c>
      <c r="B464" s="126"/>
      <c r="C464" s="126"/>
      <c r="D464" s="126"/>
      <c r="E464" s="126"/>
      <c r="F464" s="126"/>
      <c r="G464" s="10">
        <f>G462*6+G463*6</f>
        <v>90746.699999999983</v>
      </c>
      <c r="H464" s="10">
        <f t="shared" ref="H464" si="589">H462*6+H463*6</f>
        <v>9899.64</v>
      </c>
      <c r="I464" s="10">
        <f t="shared" ref="I464" si="590">I462*6+I463*6</f>
        <v>148494.59999999998</v>
      </c>
      <c r="J464" s="10">
        <f t="shared" ref="J464" si="591">J462*6+J463*6</f>
        <v>0</v>
      </c>
      <c r="K464" s="10">
        <f t="shared" ref="K464" si="592">K462*6+K463*6</f>
        <v>0</v>
      </c>
      <c r="L464" s="10">
        <f t="shared" ref="L464" si="593">L462*6+L463*6</f>
        <v>122095.56</v>
      </c>
      <c r="M464" s="10">
        <f t="shared" ref="M464" si="594">M462*6+M463*6</f>
        <v>88106.795999999988</v>
      </c>
      <c r="N464" s="10">
        <f t="shared" ref="N464" si="595">N462*6+N463*6</f>
        <v>82496.999999999985</v>
      </c>
      <c r="O464" s="10">
        <f t="shared" ref="O464" si="596">O462*6+O463*6</f>
        <v>68967.491999999998</v>
      </c>
      <c r="P464" s="10">
        <f t="shared" ref="P464" si="597">P462*6+P463*6</f>
        <v>0</v>
      </c>
      <c r="Q464" s="10">
        <f t="shared" ref="Q464" si="598">Q462*6+Q463*6</f>
        <v>143049.79799999998</v>
      </c>
      <c r="R464" s="10">
        <f t="shared" ref="R464" si="599">R462*6+R463*6</f>
        <v>753857.58600000001</v>
      </c>
      <c r="S464" s="51"/>
      <c r="T464" s="38"/>
      <c r="U464" s="38"/>
      <c r="V464" s="38"/>
    </row>
    <row r="465" spans="1:22" ht="15" customHeight="1" x14ac:dyDescent="0.25">
      <c r="A465" s="127" t="s">
        <v>74</v>
      </c>
      <c r="B465" s="128"/>
      <c r="C465" s="128"/>
      <c r="D465" s="128"/>
      <c r="E465" s="128"/>
      <c r="F465" s="128"/>
      <c r="G465" s="21">
        <f>G464</f>
        <v>90746.699999999983</v>
      </c>
      <c r="H465" s="21">
        <f t="shared" ref="H465:R465" si="600">H464</f>
        <v>9899.64</v>
      </c>
      <c r="I465" s="21">
        <f t="shared" si="600"/>
        <v>148494.59999999998</v>
      </c>
      <c r="J465" s="21">
        <f t="shared" si="600"/>
        <v>0</v>
      </c>
      <c r="K465" s="21">
        <f t="shared" si="600"/>
        <v>0</v>
      </c>
      <c r="L465" s="21">
        <f t="shared" si="600"/>
        <v>122095.56</v>
      </c>
      <c r="M465" s="21">
        <f t="shared" si="600"/>
        <v>88106.795999999988</v>
      </c>
      <c r="N465" s="21">
        <f t="shared" si="600"/>
        <v>82496.999999999985</v>
      </c>
      <c r="O465" s="21">
        <f t="shared" si="600"/>
        <v>68967.491999999998</v>
      </c>
      <c r="P465" s="21">
        <f t="shared" si="600"/>
        <v>0</v>
      </c>
      <c r="Q465" s="21">
        <f t="shared" si="600"/>
        <v>143049.79799999998</v>
      </c>
      <c r="R465" s="106">
        <f t="shared" si="600"/>
        <v>753857.58600000001</v>
      </c>
      <c r="S465" s="49"/>
      <c r="T465" s="37">
        <f>64811.61+236764.86</f>
        <v>301576.46999999997</v>
      </c>
      <c r="U465" s="37">
        <f>13102.74+47866.14</f>
        <v>60968.88</v>
      </c>
      <c r="V465" s="38"/>
    </row>
    <row r="466" spans="1:22" ht="15.75" customHeight="1" x14ac:dyDescent="0.25">
      <c r="A466" s="127" t="s">
        <v>75</v>
      </c>
      <c r="B466" s="128"/>
      <c r="C466" s="128"/>
      <c r="D466" s="128"/>
      <c r="E466" s="128"/>
      <c r="F466" s="128"/>
      <c r="G466" s="21">
        <f>$R466/$R465*G465</f>
        <v>90746.699999999983</v>
      </c>
      <c r="H466" s="21">
        <f t="shared" ref="H466:I466" si="601">$R466/$R465*H465</f>
        <v>9899.64</v>
      </c>
      <c r="I466" s="21">
        <f t="shared" si="601"/>
        <v>148494.59999999998</v>
      </c>
      <c r="J466" s="21"/>
      <c r="K466" s="21"/>
      <c r="L466" s="21">
        <f t="shared" ref="L466:O466" si="602">$R466/$R465*L465</f>
        <v>122095.56</v>
      </c>
      <c r="M466" s="21">
        <f t="shared" si="602"/>
        <v>88106.795999999988</v>
      </c>
      <c r="N466" s="21">
        <f t="shared" si="602"/>
        <v>82496.999999999985</v>
      </c>
      <c r="O466" s="21">
        <f t="shared" si="602"/>
        <v>68967.491999999998</v>
      </c>
      <c r="P466" s="21"/>
      <c r="Q466" s="21">
        <f t="shared" ref="Q466" si="603">$R466/$R465*Q465</f>
        <v>143049.79799999998</v>
      </c>
      <c r="R466" s="107">
        <f>R465-R467</f>
        <v>753857.58600000001</v>
      </c>
      <c r="S466" s="49">
        <f>R466/R465*100</f>
        <v>100</v>
      </c>
      <c r="T466" s="37">
        <v>233916.37</v>
      </c>
      <c r="U466" s="37">
        <v>47290.273000000001</v>
      </c>
      <c r="V466" s="38"/>
    </row>
    <row r="467" spans="1:22" ht="18.75" customHeight="1" x14ac:dyDescent="0.25">
      <c r="A467" s="121" t="s">
        <v>18</v>
      </c>
      <c r="B467" s="122"/>
      <c r="C467" s="122"/>
      <c r="D467" s="122"/>
      <c r="E467" s="122"/>
      <c r="F467" s="122"/>
      <c r="G467" s="21">
        <f>$R467/$R465*G465</f>
        <v>0</v>
      </c>
      <c r="H467" s="21">
        <f>$R467/$R465*H465</f>
        <v>0</v>
      </c>
      <c r="I467" s="21">
        <f t="shared" ref="I467" si="604">$R467/$R465*I465</f>
        <v>0</v>
      </c>
      <c r="J467" s="21"/>
      <c r="K467" s="21"/>
      <c r="L467" s="21">
        <f t="shared" ref="L467:N467" si="605">$R467/$R465*L465</f>
        <v>0</v>
      </c>
      <c r="M467" s="21">
        <f t="shared" si="605"/>
        <v>0</v>
      </c>
      <c r="N467" s="21">
        <f t="shared" si="605"/>
        <v>0</v>
      </c>
      <c r="O467" s="21">
        <f>$R467/$R465*O465</f>
        <v>0</v>
      </c>
      <c r="P467" s="21"/>
      <c r="Q467" s="21">
        <f t="shared" ref="Q467" si="606">$R467/$R465*Q465</f>
        <v>0</v>
      </c>
      <c r="R467" s="108"/>
      <c r="S467" s="49"/>
      <c r="T467" s="37">
        <f>T465-T466</f>
        <v>67660.099999999977</v>
      </c>
      <c r="U467" s="37">
        <f>U465-U466</f>
        <v>13678.606999999996</v>
      </c>
      <c r="V467" s="38">
        <f>T467+U467</f>
        <v>81338.706999999966</v>
      </c>
    </row>
    <row r="468" spans="1:22" ht="15" customHeight="1" x14ac:dyDescent="0.25">
      <c r="A468" s="132" t="s">
        <v>17</v>
      </c>
      <c r="B468" s="133"/>
      <c r="C468" s="133"/>
      <c r="D468" s="133"/>
      <c r="E468" s="133"/>
      <c r="F468" s="133"/>
      <c r="G468" s="9"/>
      <c r="H468" s="9"/>
      <c r="I468" s="9"/>
      <c r="J468" s="9"/>
      <c r="K468" s="9"/>
      <c r="L468" s="10">
        <f>L469+L470+L471+L472+L473+L474+L475+L476+L477+L478+L479+L480</f>
        <v>0</v>
      </c>
      <c r="M468" s="9"/>
      <c r="N468" s="9"/>
      <c r="O468" s="9"/>
      <c r="P468" s="9"/>
      <c r="Q468" s="9"/>
      <c r="R468" s="62"/>
      <c r="S468" s="49"/>
      <c r="T468" s="37"/>
      <c r="U468" s="37"/>
      <c r="V468" s="38"/>
    </row>
    <row r="469" spans="1:22" ht="15" customHeight="1" x14ac:dyDescent="0.25">
      <c r="A469" s="118"/>
      <c r="B469" s="119"/>
      <c r="C469" s="119"/>
      <c r="D469" s="119"/>
      <c r="E469" s="119"/>
      <c r="F469" s="120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64"/>
      <c r="S469" s="54"/>
      <c r="T469" s="42"/>
      <c r="U469" s="42"/>
      <c r="V469" s="47"/>
    </row>
    <row r="470" spans="1:22" ht="15" customHeight="1" x14ac:dyDescent="0.25">
      <c r="A470" s="118"/>
      <c r="B470" s="119"/>
      <c r="C470" s="119"/>
      <c r="D470" s="119"/>
      <c r="E470" s="119"/>
      <c r="F470" s="120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64"/>
      <c r="S470" s="54"/>
      <c r="T470" s="42"/>
      <c r="U470" s="42"/>
      <c r="V470" s="47"/>
    </row>
    <row r="471" spans="1:22" ht="15" customHeight="1" x14ac:dyDescent="0.25">
      <c r="A471" s="118"/>
      <c r="B471" s="119"/>
      <c r="C471" s="119"/>
      <c r="D471" s="119"/>
      <c r="E471" s="119"/>
      <c r="F471" s="120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64"/>
      <c r="S471" s="54"/>
      <c r="T471" s="42"/>
      <c r="U471" s="42"/>
      <c r="V471" s="47"/>
    </row>
    <row r="472" spans="1:22" ht="15" customHeight="1" x14ac:dyDescent="0.25">
      <c r="A472" s="118"/>
      <c r="B472" s="119"/>
      <c r="C472" s="119"/>
      <c r="D472" s="119"/>
      <c r="E472" s="119"/>
      <c r="F472" s="120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64"/>
      <c r="S472" s="54"/>
      <c r="T472" s="42"/>
      <c r="U472" s="42"/>
      <c r="V472" s="47"/>
    </row>
    <row r="473" spans="1:22" ht="28.5" customHeight="1" x14ac:dyDescent="0.25">
      <c r="A473" s="118"/>
      <c r="B473" s="119"/>
      <c r="C473" s="119"/>
      <c r="D473" s="119"/>
      <c r="E473" s="119"/>
      <c r="F473" s="120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64"/>
      <c r="S473" s="54"/>
      <c r="T473" s="42"/>
      <c r="U473" s="42"/>
      <c r="V473" s="47"/>
    </row>
    <row r="474" spans="1:22" ht="15" customHeight="1" x14ac:dyDescent="0.25">
      <c r="A474" s="118"/>
      <c r="B474" s="119"/>
      <c r="C474" s="119"/>
      <c r="D474" s="119"/>
      <c r="E474" s="119"/>
      <c r="F474" s="120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64"/>
      <c r="S474" s="54"/>
      <c r="T474" s="42"/>
      <c r="U474" s="42"/>
      <c r="V474" s="47"/>
    </row>
    <row r="475" spans="1:22" ht="15" customHeight="1" x14ac:dyDescent="0.25">
      <c r="A475" s="118"/>
      <c r="B475" s="119"/>
      <c r="C475" s="119"/>
      <c r="D475" s="119"/>
      <c r="E475" s="119"/>
      <c r="F475" s="120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64"/>
      <c r="S475" s="54"/>
      <c r="T475" s="42"/>
      <c r="U475" s="42"/>
      <c r="V475" s="47"/>
    </row>
    <row r="476" spans="1:22" ht="49.5" customHeight="1" x14ac:dyDescent="0.25">
      <c r="A476" s="118"/>
      <c r="B476" s="119"/>
      <c r="C476" s="119"/>
      <c r="D476" s="119"/>
      <c r="E476" s="119"/>
      <c r="F476" s="120"/>
      <c r="G476" s="23"/>
      <c r="H476" s="23"/>
      <c r="I476" s="23"/>
      <c r="J476" s="23"/>
      <c r="K476" s="23"/>
      <c r="L476" s="34"/>
      <c r="M476" s="23"/>
      <c r="N476" s="23"/>
      <c r="O476" s="23"/>
      <c r="P476" s="23"/>
      <c r="Q476" s="23"/>
      <c r="R476" s="64"/>
      <c r="S476" s="54"/>
      <c r="T476" s="42"/>
      <c r="U476" s="42"/>
      <c r="V476" s="47"/>
    </row>
    <row r="477" spans="1:22" ht="21" customHeight="1" x14ac:dyDescent="0.25">
      <c r="A477" s="118"/>
      <c r="B477" s="119"/>
      <c r="C477" s="119"/>
      <c r="D477" s="119"/>
      <c r="E477" s="119"/>
      <c r="F477" s="120"/>
      <c r="G477" s="23"/>
      <c r="H477" s="23"/>
      <c r="I477" s="23"/>
      <c r="J477" s="23"/>
      <c r="K477" s="23"/>
      <c r="L477" s="34"/>
      <c r="M477" s="23"/>
      <c r="N477" s="23"/>
      <c r="O477" s="23"/>
      <c r="P477" s="23"/>
      <c r="Q477" s="23"/>
      <c r="R477" s="64"/>
      <c r="S477" s="54"/>
      <c r="T477" s="42"/>
      <c r="U477" s="42"/>
      <c r="V477" s="47"/>
    </row>
    <row r="478" spans="1:22" ht="21" customHeight="1" x14ac:dyDescent="0.25">
      <c r="A478" s="118"/>
      <c r="B478" s="119"/>
      <c r="C478" s="119"/>
      <c r="D478" s="119"/>
      <c r="E478" s="119"/>
      <c r="F478" s="120"/>
      <c r="G478" s="23"/>
      <c r="H478" s="23"/>
      <c r="I478" s="23"/>
      <c r="J478" s="23"/>
      <c r="K478" s="23"/>
      <c r="L478" s="34"/>
      <c r="M478" s="23"/>
      <c r="N478" s="23"/>
      <c r="O478" s="23"/>
      <c r="P478" s="23"/>
      <c r="Q478" s="23"/>
      <c r="R478" s="64"/>
      <c r="S478" s="54"/>
      <c r="T478" s="42"/>
      <c r="U478" s="42"/>
      <c r="V478" s="47"/>
    </row>
    <row r="479" spans="1:22" ht="21" customHeight="1" x14ac:dyDescent="0.25">
      <c r="A479" s="118"/>
      <c r="B479" s="119"/>
      <c r="C479" s="119"/>
      <c r="D479" s="119"/>
      <c r="E479" s="119"/>
      <c r="F479" s="120"/>
      <c r="G479" s="23"/>
      <c r="H479" s="23"/>
      <c r="I479" s="23"/>
      <c r="J479" s="23"/>
      <c r="K479" s="23"/>
      <c r="L479" s="34"/>
      <c r="M479" s="23"/>
      <c r="N479" s="23"/>
      <c r="O479" s="23"/>
      <c r="P479" s="23"/>
      <c r="Q479" s="23"/>
      <c r="R479" s="64"/>
      <c r="S479" s="54"/>
      <c r="T479" s="42"/>
      <c r="U479" s="42"/>
      <c r="V479" s="47"/>
    </row>
    <row r="480" spans="1:22" ht="21" customHeight="1" x14ac:dyDescent="0.25">
      <c r="A480" s="118"/>
      <c r="B480" s="119"/>
      <c r="C480" s="119"/>
      <c r="D480" s="119"/>
      <c r="E480" s="119"/>
      <c r="F480" s="120"/>
      <c r="G480" s="23"/>
      <c r="H480" s="23"/>
      <c r="I480" s="23"/>
      <c r="J480" s="23"/>
      <c r="K480" s="23"/>
      <c r="L480" s="34"/>
      <c r="M480" s="23"/>
      <c r="N480" s="23"/>
      <c r="O480" s="23"/>
      <c r="P480" s="23"/>
      <c r="Q480" s="23"/>
      <c r="R480" s="64"/>
      <c r="S480" s="54"/>
      <c r="T480" s="42"/>
      <c r="U480" s="42"/>
      <c r="V480" s="47"/>
    </row>
    <row r="481" spans="1:22" ht="15.75" customHeight="1" thickBot="1" x14ac:dyDescent="0.3">
      <c r="A481" s="134" t="s">
        <v>20</v>
      </c>
      <c r="B481" s="135"/>
      <c r="C481" s="135"/>
      <c r="D481" s="135"/>
      <c r="E481" s="135"/>
      <c r="F481" s="135"/>
      <c r="G481" s="23"/>
      <c r="H481" s="23"/>
      <c r="I481" s="23"/>
      <c r="J481" s="23"/>
      <c r="K481" s="23"/>
      <c r="L481" s="28">
        <f>L466-L468</f>
        <v>122095.56</v>
      </c>
      <c r="M481" s="23"/>
      <c r="N481" s="23"/>
      <c r="O481" s="23"/>
      <c r="P481" s="23"/>
      <c r="Q481" s="23"/>
      <c r="R481" s="64"/>
      <c r="S481" s="54"/>
      <c r="T481" s="42"/>
      <c r="U481" s="42"/>
      <c r="V481" s="47"/>
    </row>
    <row r="482" spans="1:22" ht="33" customHeight="1" x14ac:dyDescent="0.25">
      <c r="A482" s="90" t="s">
        <v>27</v>
      </c>
      <c r="B482" s="99">
        <v>23</v>
      </c>
      <c r="C482" s="7">
        <v>5</v>
      </c>
      <c r="D482" s="6">
        <v>3434.5</v>
      </c>
      <c r="E482" s="6">
        <v>29.9</v>
      </c>
      <c r="F482" s="6">
        <f t="shared" ref="F482" si="607">D482+E482</f>
        <v>3464.4</v>
      </c>
      <c r="G482" s="73"/>
      <c r="H482" s="73"/>
      <c r="I482" s="73"/>
      <c r="J482" s="73"/>
      <c r="K482" s="73"/>
      <c r="L482" s="73"/>
      <c r="M482" s="73"/>
      <c r="N482" s="73"/>
      <c r="O482" s="73"/>
      <c r="P482" s="73"/>
      <c r="Q482" s="73"/>
      <c r="R482" s="27"/>
      <c r="S482" s="48"/>
      <c r="T482" s="36"/>
      <c r="U482" s="36"/>
      <c r="V482" s="40"/>
    </row>
    <row r="483" spans="1:22" s="3" customFormat="1" ht="21" hidden="1" customHeight="1" x14ac:dyDescent="0.25">
      <c r="A483" s="123" t="s">
        <v>30</v>
      </c>
      <c r="B483" s="124"/>
      <c r="C483" s="124"/>
      <c r="D483" s="124"/>
      <c r="E483" s="124"/>
      <c r="F483" s="124"/>
      <c r="G483" s="11">
        <f t="shared" ref="G483:R483" si="608">$F$482*G$221</f>
        <v>0</v>
      </c>
      <c r="H483" s="11">
        <f t="shared" si="608"/>
        <v>0</v>
      </c>
      <c r="I483" s="11">
        <f t="shared" si="608"/>
        <v>0</v>
      </c>
      <c r="J483" s="11">
        <f t="shared" si="608"/>
        <v>0</v>
      </c>
      <c r="K483" s="11">
        <f t="shared" si="608"/>
        <v>0</v>
      </c>
      <c r="L483" s="11">
        <f t="shared" si="608"/>
        <v>0</v>
      </c>
      <c r="M483" s="11">
        <f t="shared" si="608"/>
        <v>0</v>
      </c>
      <c r="N483" s="11">
        <f t="shared" si="608"/>
        <v>0</v>
      </c>
      <c r="O483" s="11">
        <f t="shared" si="608"/>
        <v>0</v>
      </c>
      <c r="P483" s="11">
        <f t="shared" si="608"/>
        <v>0</v>
      </c>
      <c r="Q483" s="11">
        <f t="shared" si="608"/>
        <v>0</v>
      </c>
      <c r="R483" s="61">
        <f t="shared" si="608"/>
        <v>0</v>
      </c>
      <c r="S483" s="50"/>
      <c r="T483" s="37"/>
      <c r="U483" s="37"/>
      <c r="V483" s="38"/>
    </row>
    <row r="484" spans="1:22" s="3" customFormat="1" ht="21" customHeight="1" x14ac:dyDescent="0.25">
      <c r="A484" s="123" t="s">
        <v>49</v>
      </c>
      <c r="B484" s="124"/>
      <c r="C484" s="124"/>
      <c r="D484" s="124"/>
      <c r="E484" s="124"/>
      <c r="F484" s="124"/>
      <c r="G484" s="11">
        <f t="shared" ref="G484:R484" si="609">$F$482*G$222</f>
        <v>9527.1</v>
      </c>
      <c r="H484" s="11">
        <f t="shared" si="609"/>
        <v>1039.32</v>
      </c>
      <c r="I484" s="11">
        <f t="shared" si="609"/>
        <v>15589.800000000001</v>
      </c>
      <c r="J484" s="11">
        <f t="shared" si="609"/>
        <v>0</v>
      </c>
      <c r="K484" s="11">
        <f t="shared" si="609"/>
        <v>0</v>
      </c>
      <c r="L484" s="11">
        <f t="shared" si="609"/>
        <v>12818.28</v>
      </c>
      <c r="M484" s="11">
        <f t="shared" si="609"/>
        <v>9249.9480000000003</v>
      </c>
      <c r="N484" s="11">
        <f t="shared" si="609"/>
        <v>8661</v>
      </c>
      <c r="O484" s="11">
        <f t="shared" si="609"/>
        <v>7240.5959999999995</v>
      </c>
      <c r="P484" s="11">
        <f t="shared" si="609"/>
        <v>0</v>
      </c>
      <c r="Q484" s="11">
        <f t="shared" si="609"/>
        <v>12298.619999999999</v>
      </c>
      <c r="R484" s="11">
        <f t="shared" si="609"/>
        <v>76424.664000000004</v>
      </c>
      <c r="S484" s="50"/>
      <c r="T484" s="37"/>
      <c r="U484" s="37"/>
      <c r="V484" s="38"/>
    </row>
    <row r="485" spans="1:22" s="3" customFormat="1" ht="21" customHeight="1" x14ac:dyDescent="0.25">
      <c r="A485" s="123" t="s">
        <v>76</v>
      </c>
      <c r="B485" s="124"/>
      <c r="C485" s="124"/>
      <c r="D485" s="124"/>
      <c r="E485" s="124"/>
      <c r="F485" s="124"/>
      <c r="G485" s="11">
        <f>$F$482*G$223</f>
        <v>9527.1</v>
      </c>
      <c r="H485" s="11">
        <f t="shared" ref="H485:R485" si="610">$F$482*H$223</f>
        <v>1039.32</v>
      </c>
      <c r="I485" s="11">
        <f t="shared" si="610"/>
        <v>15589.800000000001</v>
      </c>
      <c r="J485" s="11">
        <f t="shared" si="610"/>
        <v>0</v>
      </c>
      <c r="K485" s="11">
        <f t="shared" si="610"/>
        <v>0</v>
      </c>
      <c r="L485" s="11">
        <f t="shared" si="610"/>
        <v>12818.28</v>
      </c>
      <c r="M485" s="11">
        <f t="shared" si="610"/>
        <v>9249.9480000000003</v>
      </c>
      <c r="N485" s="11">
        <f t="shared" si="610"/>
        <v>8661</v>
      </c>
      <c r="O485" s="11">
        <f t="shared" si="610"/>
        <v>7240.5959999999995</v>
      </c>
      <c r="P485" s="11">
        <f t="shared" si="610"/>
        <v>0</v>
      </c>
      <c r="Q485" s="11">
        <f t="shared" si="610"/>
        <v>17737.727999999999</v>
      </c>
      <c r="R485" s="11">
        <f t="shared" si="610"/>
        <v>81863.772000000012</v>
      </c>
      <c r="S485" s="50"/>
      <c r="T485" s="37"/>
      <c r="U485" s="37"/>
      <c r="V485" s="38"/>
    </row>
    <row r="486" spans="1:22" s="8" customFormat="1" ht="21" customHeight="1" x14ac:dyDescent="0.25">
      <c r="A486" s="125" t="s">
        <v>19</v>
      </c>
      <c r="B486" s="126"/>
      <c r="C486" s="126"/>
      <c r="D486" s="126"/>
      <c r="E486" s="126"/>
      <c r="F486" s="126"/>
      <c r="G486" s="10">
        <f>G484*6+G485*6</f>
        <v>114325.20000000001</v>
      </c>
      <c r="H486" s="10">
        <f t="shared" ref="H486" si="611">H484*6+H485*6</f>
        <v>12471.84</v>
      </c>
      <c r="I486" s="10">
        <f t="shared" ref="I486" si="612">I484*6+I485*6</f>
        <v>187077.6</v>
      </c>
      <c r="J486" s="10">
        <f t="shared" ref="J486" si="613">J484*6+J485*6</f>
        <v>0</v>
      </c>
      <c r="K486" s="10">
        <f t="shared" ref="K486" si="614">K484*6+K485*6</f>
        <v>0</v>
      </c>
      <c r="L486" s="10">
        <f t="shared" ref="L486" si="615">L484*6+L485*6</f>
        <v>153819.36000000002</v>
      </c>
      <c r="M486" s="10">
        <f t="shared" ref="M486" si="616">M484*6+M485*6</f>
        <v>110999.376</v>
      </c>
      <c r="N486" s="10">
        <f t="shared" ref="N486" si="617">N484*6+N485*6</f>
        <v>103932</v>
      </c>
      <c r="O486" s="10">
        <f t="shared" ref="O486" si="618">O484*6+O485*6</f>
        <v>86887.152000000002</v>
      </c>
      <c r="P486" s="10">
        <f t="shared" ref="P486" si="619">P484*6+P485*6</f>
        <v>0</v>
      </c>
      <c r="Q486" s="10">
        <f t="shared" ref="Q486" si="620">Q484*6+Q485*6</f>
        <v>180218.08799999999</v>
      </c>
      <c r="R486" s="10">
        <f t="shared" ref="R486" si="621">R484*6+R485*6</f>
        <v>949730.61600000015</v>
      </c>
      <c r="S486" s="51"/>
      <c r="T486" s="38"/>
      <c r="U486" s="38"/>
      <c r="V486" s="38"/>
    </row>
    <row r="487" spans="1:22" ht="15" customHeight="1" x14ac:dyDescent="0.25">
      <c r="A487" s="127" t="s">
        <v>74</v>
      </c>
      <c r="B487" s="128"/>
      <c r="C487" s="128"/>
      <c r="D487" s="128"/>
      <c r="E487" s="128"/>
      <c r="F487" s="128"/>
      <c r="G487" s="21">
        <f>G486</f>
        <v>114325.20000000001</v>
      </c>
      <c r="H487" s="21">
        <f t="shared" ref="H487:R487" si="622">H486</f>
        <v>12471.84</v>
      </c>
      <c r="I487" s="21">
        <f t="shared" si="622"/>
        <v>187077.6</v>
      </c>
      <c r="J487" s="21">
        <f t="shared" si="622"/>
        <v>0</v>
      </c>
      <c r="K487" s="21">
        <f t="shared" si="622"/>
        <v>0</v>
      </c>
      <c r="L487" s="21">
        <f t="shared" si="622"/>
        <v>153819.36000000002</v>
      </c>
      <c r="M487" s="21">
        <f t="shared" si="622"/>
        <v>110999.376</v>
      </c>
      <c r="N487" s="21">
        <f t="shared" si="622"/>
        <v>103932</v>
      </c>
      <c r="O487" s="21">
        <f t="shared" si="622"/>
        <v>86887.152000000002</v>
      </c>
      <c r="P487" s="21">
        <f t="shared" si="622"/>
        <v>0</v>
      </c>
      <c r="Q487" s="21">
        <f t="shared" si="622"/>
        <v>180218.08799999999</v>
      </c>
      <c r="R487" s="106">
        <f t="shared" si="622"/>
        <v>949730.61600000015</v>
      </c>
      <c r="S487" s="49"/>
      <c r="T487" s="37">
        <f>266078.21+361890.59</f>
        <v>627968.80000000005</v>
      </c>
      <c r="U487" s="37">
        <f>44209.39+73162.47</f>
        <v>117371.86</v>
      </c>
      <c r="V487" s="38"/>
    </row>
    <row r="488" spans="1:22" ht="15.75" customHeight="1" x14ac:dyDescent="0.25">
      <c r="A488" s="127" t="s">
        <v>75</v>
      </c>
      <c r="B488" s="128"/>
      <c r="C488" s="128"/>
      <c r="D488" s="128"/>
      <c r="E488" s="128"/>
      <c r="F488" s="128"/>
      <c r="G488" s="21">
        <f>$R488/$R487*G487</f>
        <v>114325.20000000001</v>
      </c>
      <c r="H488" s="21">
        <f t="shared" ref="H488:I488" si="623">$R488/$R487*H487</f>
        <v>12471.84</v>
      </c>
      <c r="I488" s="21">
        <f t="shared" si="623"/>
        <v>187077.6</v>
      </c>
      <c r="J488" s="21"/>
      <c r="K488" s="21"/>
      <c r="L488" s="21">
        <f t="shared" ref="L488:O488" si="624">$R488/$R487*L487</f>
        <v>153819.36000000002</v>
      </c>
      <c r="M488" s="21">
        <f t="shared" si="624"/>
        <v>110999.376</v>
      </c>
      <c r="N488" s="21">
        <f t="shared" si="624"/>
        <v>103932</v>
      </c>
      <c r="O488" s="21">
        <f t="shared" si="624"/>
        <v>86887.152000000002</v>
      </c>
      <c r="P488" s="21"/>
      <c r="Q488" s="21">
        <f t="shared" ref="Q488" si="625">$R488/$R487*Q487</f>
        <v>180218.08799999999</v>
      </c>
      <c r="R488" s="107">
        <f>R487-R489</f>
        <v>949730.61600000015</v>
      </c>
      <c r="S488" s="49">
        <f>R488/R487*100</f>
        <v>100</v>
      </c>
      <c r="T488" s="37">
        <v>388377.55</v>
      </c>
      <c r="U488" s="37">
        <v>74242.679999999993</v>
      </c>
      <c r="V488" s="38"/>
    </row>
    <row r="489" spans="1:22" ht="18.75" customHeight="1" x14ac:dyDescent="0.25">
      <c r="A489" s="121" t="s">
        <v>18</v>
      </c>
      <c r="B489" s="122"/>
      <c r="C489" s="122"/>
      <c r="D489" s="122"/>
      <c r="E489" s="122"/>
      <c r="F489" s="122"/>
      <c r="G489" s="21">
        <f>$R489/$R487*G487</f>
        <v>0</v>
      </c>
      <c r="H489" s="21">
        <f>$R489/$R487*H487</f>
        <v>0</v>
      </c>
      <c r="I489" s="21">
        <f t="shared" ref="I489" si="626">$R489/$R487*I487</f>
        <v>0</v>
      </c>
      <c r="J489" s="21"/>
      <c r="K489" s="21"/>
      <c r="L489" s="21">
        <f t="shared" ref="L489:N489" si="627">$R489/$R487*L487</f>
        <v>0</v>
      </c>
      <c r="M489" s="21">
        <f t="shared" si="627"/>
        <v>0</v>
      </c>
      <c r="N489" s="21">
        <f t="shared" si="627"/>
        <v>0</v>
      </c>
      <c r="O489" s="21">
        <f>$R489/$R487*O487</f>
        <v>0</v>
      </c>
      <c r="P489" s="21"/>
      <c r="Q489" s="21">
        <f t="shared" ref="Q489" si="628">$R489/$R487*Q487</f>
        <v>0</v>
      </c>
      <c r="R489" s="108"/>
      <c r="S489" s="49"/>
      <c r="T489" s="37">
        <f>T487-T488</f>
        <v>239591.25000000006</v>
      </c>
      <c r="U489" s="37">
        <f>U487-U488</f>
        <v>43129.180000000008</v>
      </c>
      <c r="V489" s="38">
        <f>T489+U489</f>
        <v>282720.43000000005</v>
      </c>
    </row>
    <row r="490" spans="1:22" ht="15" customHeight="1" x14ac:dyDescent="0.25">
      <c r="A490" s="132" t="s">
        <v>17</v>
      </c>
      <c r="B490" s="133"/>
      <c r="C490" s="133"/>
      <c r="D490" s="133"/>
      <c r="E490" s="133"/>
      <c r="F490" s="133"/>
      <c r="G490" s="9"/>
      <c r="H490" s="9"/>
      <c r="I490" s="9"/>
      <c r="J490" s="9"/>
      <c r="K490" s="9"/>
      <c r="L490" s="10">
        <f>L491+L492+L493+L494+L495+L496+L497</f>
        <v>6298.95</v>
      </c>
      <c r="M490" s="9"/>
      <c r="N490" s="9"/>
      <c r="O490" s="9"/>
      <c r="P490" s="9"/>
      <c r="Q490" s="9"/>
      <c r="R490" s="62"/>
      <c r="S490" s="49"/>
      <c r="T490" s="37"/>
      <c r="U490" s="37"/>
      <c r="V490" s="38"/>
    </row>
    <row r="491" spans="1:22" ht="21" customHeight="1" x14ac:dyDescent="0.25">
      <c r="A491" s="118" t="s">
        <v>79</v>
      </c>
      <c r="B491" s="119"/>
      <c r="C491" s="119"/>
      <c r="D491" s="119"/>
      <c r="E491" s="119"/>
      <c r="F491" s="120"/>
      <c r="G491" s="23"/>
      <c r="H491" s="23"/>
      <c r="I491" s="23"/>
      <c r="J491" s="23"/>
      <c r="K491" s="23"/>
      <c r="L491" s="112">
        <v>6298.95</v>
      </c>
      <c r="M491" s="23"/>
      <c r="N491" s="23"/>
      <c r="O491" s="23"/>
      <c r="P491" s="23"/>
      <c r="Q491" s="23"/>
      <c r="R491" s="64"/>
      <c r="S491" s="54"/>
      <c r="T491" s="42"/>
      <c r="U491" s="42"/>
      <c r="V491" s="47"/>
    </row>
    <row r="492" spans="1:22" ht="49.5" customHeight="1" x14ac:dyDescent="0.25">
      <c r="A492" s="118"/>
      <c r="B492" s="119"/>
      <c r="C492" s="119"/>
      <c r="D492" s="119"/>
      <c r="E492" s="119"/>
      <c r="F492" s="120"/>
      <c r="G492" s="23"/>
      <c r="H492" s="23"/>
      <c r="I492" s="23"/>
      <c r="J492" s="23"/>
      <c r="K492" s="23"/>
      <c r="L492" s="34"/>
      <c r="M492" s="23"/>
      <c r="N492" s="23"/>
      <c r="O492" s="23"/>
      <c r="P492" s="23"/>
      <c r="Q492" s="23"/>
      <c r="R492" s="64"/>
      <c r="S492" s="54"/>
      <c r="T492" s="42"/>
      <c r="U492" s="42"/>
      <c r="V492" s="47"/>
    </row>
    <row r="493" spans="1:22" ht="21" customHeight="1" x14ac:dyDescent="0.25">
      <c r="A493" s="118"/>
      <c r="B493" s="119"/>
      <c r="C493" s="119"/>
      <c r="D493" s="119"/>
      <c r="E493" s="119"/>
      <c r="F493" s="120"/>
      <c r="G493" s="23"/>
      <c r="H493" s="23"/>
      <c r="I493" s="23"/>
      <c r="J493" s="23"/>
      <c r="K493" s="23"/>
      <c r="L493" s="34"/>
      <c r="M493" s="23"/>
      <c r="N493" s="23"/>
      <c r="O493" s="23"/>
      <c r="P493" s="23"/>
      <c r="Q493" s="23"/>
      <c r="R493" s="64"/>
      <c r="S493" s="54"/>
      <c r="T493" s="42"/>
      <c r="U493" s="42"/>
      <c r="V493" s="47"/>
    </row>
    <row r="494" spans="1:22" ht="21" customHeight="1" x14ac:dyDescent="0.25">
      <c r="A494" s="118"/>
      <c r="B494" s="119"/>
      <c r="C494" s="119"/>
      <c r="D494" s="119"/>
      <c r="E494" s="119"/>
      <c r="F494" s="120"/>
      <c r="G494" s="23"/>
      <c r="H494" s="23"/>
      <c r="I494" s="23"/>
      <c r="J494" s="23"/>
      <c r="K494" s="23"/>
      <c r="L494" s="34"/>
      <c r="M494" s="23"/>
      <c r="N494" s="23"/>
      <c r="O494" s="23"/>
      <c r="P494" s="23"/>
      <c r="Q494" s="23"/>
      <c r="R494" s="64"/>
      <c r="S494" s="54"/>
      <c r="T494" s="42"/>
      <c r="U494" s="42"/>
      <c r="V494" s="47"/>
    </row>
    <row r="495" spans="1:22" ht="21" customHeight="1" x14ac:dyDescent="0.25">
      <c r="A495" s="118"/>
      <c r="B495" s="119"/>
      <c r="C495" s="119"/>
      <c r="D495" s="119"/>
      <c r="E495" s="119"/>
      <c r="F495" s="120"/>
      <c r="G495" s="23"/>
      <c r="H495" s="23"/>
      <c r="I495" s="23"/>
      <c r="J495" s="23"/>
      <c r="K495" s="23"/>
      <c r="L495" s="34"/>
      <c r="M495" s="23"/>
      <c r="N495" s="23"/>
      <c r="O495" s="23"/>
      <c r="P495" s="23"/>
      <c r="Q495" s="23"/>
      <c r="R495" s="64"/>
      <c r="S495" s="54"/>
      <c r="T495" s="42"/>
      <c r="U495" s="42"/>
      <c r="V495" s="47"/>
    </row>
    <row r="496" spans="1:22" ht="21" customHeight="1" x14ac:dyDescent="0.25">
      <c r="A496" s="118"/>
      <c r="B496" s="119"/>
      <c r="C496" s="119"/>
      <c r="D496" s="119"/>
      <c r="E496" s="119"/>
      <c r="F496" s="120"/>
      <c r="G496" s="23"/>
      <c r="H496" s="23"/>
      <c r="I496" s="23"/>
      <c r="J496" s="23"/>
      <c r="K496" s="23"/>
      <c r="L496" s="34"/>
      <c r="M496" s="23"/>
      <c r="N496" s="23"/>
      <c r="O496" s="23"/>
      <c r="P496" s="23"/>
      <c r="Q496" s="23"/>
      <c r="R496" s="64"/>
      <c r="S496" s="54"/>
      <c r="T496" s="42"/>
      <c r="U496" s="42"/>
      <c r="V496" s="47"/>
    </row>
    <row r="497" spans="1:24" ht="21" customHeight="1" x14ac:dyDescent="0.25">
      <c r="A497" s="118"/>
      <c r="B497" s="119"/>
      <c r="C497" s="119"/>
      <c r="D497" s="119"/>
      <c r="E497" s="119"/>
      <c r="F497" s="120"/>
      <c r="G497" s="23"/>
      <c r="H497" s="23"/>
      <c r="I497" s="23"/>
      <c r="J497" s="23"/>
      <c r="K497" s="23"/>
      <c r="L497" s="34"/>
      <c r="M497" s="23"/>
      <c r="N497" s="23"/>
      <c r="O497" s="23"/>
      <c r="P497" s="23"/>
      <c r="Q497" s="23"/>
      <c r="R497" s="64"/>
      <c r="S497" s="54"/>
      <c r="T497" s="42"/>
      <c r="U497" s="42"/>
      <c r="V497" s="47"/>
    </row>
    <row r="498" spans="1:24" ht="15.75" customHeight="1" thickBot="1" x14ac:dyDescent="0.3">
      <c r="A498" s="136" t="s">
        <v>20</v>
      </c>
      <c r="B498" s="137"/>
      <c r="C498" s="137"/>
      <c r="D498" s="137"/>
      <c r="E498" s="137"/>
      <c r="F498" s="137"/>
      <c r="G498" s="14"/>
      <c r="H498" s="14"/>
      <c r="I498" s="14"/>
      <c r="J498" s="14"/>
      <c r="K498" s="14"/>
      <c r="L498" s="26">
        <f>L488-L490</f>
        <v>147520.41</v>
      </c>
      <c r="M498" s="14"/>
      <c r="N498" s="14"/>
      <c r="O498" s="14"/>
      <c r="P498" s="14"/>
      <c r="Q498" s="14"/>
      <c r="R498" s="63"/>
      <c r="S498" s="52"/>
      <c r="T498" s="39"/>
      <c r="U498" s="39"/>
      <c r="V498" s="45"/>
    </row>
    <row r="499" spans="1:24" ht="26.25" customHeight="1" x14ac:dyDescent="0.25">
      <c r="A499" s="154" t="s">
        <v>34</v>
      </c>
      <c r="B499" s="155"/>
      <c r="C499" s="155"/>
      <c r="D499" s="33">
        <f>D224+D239+D255+D278+D295+D311+D326+D344+D362+D383+D399+D415+D430+D445+D460+D482+D11+D29+D46+D62+D80+D98+D114+D130+D148+D165+D188+D204</f>
        <v>101047.49999999997</v>
      </c>
      <c r="E499" s="33">
        <f>E224+E239+E255+E278+E295+E311+E326+E344+E362+E383+E399+E415+E430+E445+E460+E482+E11+E29+E46+E62+E80+E98+E114+E130+E148+E165+E188+E204</f>
        <v>2453.6999999999998</v>
      </c>
      <c r="F499" s="33">
        <f>F224+F239+F255+F278+F295+F311+F326+F344+F362+F383+F399+F415+F430+F445+F460+F482+F11+F29+F46+F62+F80+F98+F114+F130+F148+F165+F188+F204</f>
        <v>103501.19999999997</v>
      </c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65"/>
      <c r="S499" s="55"/>
      <c r="T499" s="41"/>
      <c r="U499" s="41"/>
      <c r="V499" s="46"/>
    </row>
    <row r="500" spans="1:24" s="3" customFormat="1" ht="21" hidden="1" customHeight="1" x14ac:dyDescent="0.25">
      <c r="A500" s="123" t="s">
        <v>30</v>
      </c>
      <c r="B500" s="124"/>
      <c r="C500" s="124"/>
      <c r="D500" s="124"/>
      <c r="E500" s="124"/>
      <c r="F500" s="124"/>
      <c r="G500" s="17">
        <f t="shared" ref="G500:R500" si="629">G12+G30+G47+G63+G81+G99+G115+G131+G149+G166+G189+G205+G225+G240+G256+G279+G296+G312+G327+G345+G363+G384+G400+G416+G431+G446+G461+G483</f>
        <v>0</v>
      </c>
      <c r="H500" s="17">
        <f t="shared" si="629"/>
        <v>0</v>
      </c>
      <c r="I500" s="17">
        <f t="shared" si="629"/>
        <v>0</v>
      </c>
      <c r="J500" s="17">
        <f t="shared" si="629"/>
        <v>0</v>
      </c>
      <c r="K500" s="17">
        <f t="shared" si="629"/>
        <v>0</v>
      </c>
      <c r="L500" s="17">
        <f t="shared" si="629"/>
        <v>0</v>
      </c>
      <c r="M500" s="17">
        <f t="shared" si="629"/>
        <v>0</v>
      </c>
      <c r="N500" s="17">
        <f t="shared" si="629"/>
        <v>0</v>
      </c>
      <c r="O500" s="17">
        <f t="shared" si="629"/>
        <v>0</v>
      </c>
      <c r="P500" s="17">
        <f t="shared" si="629"/>
        <v>0</v>
      </c>
      <c r="Q500" s="17">
        <f t="shared" si="629"/>
        <v>0</v>
      </c>
      <c r="R500" s="66">
        <f t="shared" si="629"/>
        <v>0</v>
      </c>
      <c r="S500" s="50"/>
      <c r="T500" s="37"/>
      <c r="U500" s="37"/>
      <c r="V500" s="38"/>
    </row>
    <row r="501" spans="1:24" s="3" customFormat="1" ht="21" customHeight="1" x14ac:dyDescent="0.25">
      <c r="A501" s="123" t="s">
        <v>49</v>
      </c>
      <c r="B501" s="124"/>
      <c r="C501" s="124"/>
      <c r="D501" s="124"/>
      <c r="E501" s="124"/>
      <c r="F501" s="124"/>
      <c r="G501" s="17">
        <f t="shared" ref="G501:J502" si="630">G14+G31+G48+G64+G82+G100+G116+G132+G150+G167+G190+G206+G226+G241+G257+G280+G297+G313+G328+G346+G364+G385+G401+G417+G432+G447+G462+G484</f>
        <v>312704.3949999999</v>
      </c>
      <c r="H501" s="17">
        <f t="shared" si="630"/>
        <v>31050.36</v>
      </c>
      <c r="I501" s="17">
        <f t="shared" si="630"/>
        <v>475846.54199999996</v>
      </c>
      <c r="J501" s="17">
        <f t="shared" si="630"/>
        <v>343472.57399999991</v>
      </c>
      <c r="K501" s="17">
        <f t="shared" ref="K501:R502" si="631">K14+K31+K48+K64+K82+K100+K116+K132+K150+K167+K190+K206+K226+K241+K257+K280+K297+K313+K328+K346+K364+K385+K401+K417+K432+K447+K462+K484</f>
        <v>129693.758</v>
      </c>
      <c r="L501" s="17">
        <f t="shared" si="631"/>
        <v>414722.85000000009</v>
      </c>
      <c r="M501" s="17">
        <f t="shared" si="631"/>
        <v>276348.20399999991</v>
      </c>
      <c r="N501" s="17">
        <f t="shared" si="631"/>
        <v>273702.84000000003</v>
      </c>
      <c r="O501" s="17">
        <f t="shared" si="631"/>
        <v>216317.50799999997</v>
      </c>
      <c r="P501" s="17">
        <f t="shared" si="631"/>
        <v>132688.92499999999</v>
      </c>
      <c r="Q501" s="17">
        <f t="shared" si="631"/>
        <v>367429.26</v>
      </c>
      <c r="R501" s="17">
        <f t="shared" si="631"/>
        <v>2973977.2160000005</v>
      </c>
      <c r="S501" s="17">
        <f t="shared" ref="S501:V501" si="632">S14+S31+S48+S64+S82+S100+S116+S132+S150+S167+S190+S206+S226+S241+S257+S280+S297+S313+S328+S346+S364+S385+S401+S417+S432+S447+S462+S484</f>
        <v>0</v>
      </c>
      <c r="T501" s="17">
        <f t="shared" si="632"/>
        <v>0</v>
      </c>
      <c r="U501" s="17">
        <f t="shared" si="632"/>
        <v>0</v>
      </c>
      <c r="V501" s="17">
        <f t="shared" si="632"/>
        <v>0</v>
      </c>
      <c r="W501" s="109"/>
    </row>
    <row r="502" spans="1:24" s="3" customFormat="1" ht="21" customHeight="1" x14ac:dyDescent="0.25">
      <c r="A502" s="123" t="s">
        <v>76</v>
      </c>
      <c r="B502" s="124"/>
      <c r="C502" s="124"/>
      <c r="D502" s="124"/>
      <c r="E502" s="124"/>
      <c r="F502" s="124"/>
      <c r="G502" s="17">
        <f t="shared" si="630"/>
        <v>312704.3949999999</v>
      </c>
      <c r="H502" s="17">
        <f t="shared" si="630"/>
        <v>31050.36</v>
      </c>
      <c r="I502" s="17">
        <f t="shared" si="630"/>
        <v>475846.54199999996</v>
      </c>
      <c r="J502" s="17">
        <f t="shared" si="630"/>
        <v>343472.57399999991</v>
      </c>
      <c r="K502" s="17">
        <f t="shared" si="631"/>
        <v>129693.758</v>
      </c>
      <c r="L502" s="17">
        <f t="shared" si="631"/>
        <v>427803.96</v>
      </c>
      <c r="M502" s="17">
        <f t="shared" si="631"/>
        <v>276348.20399999991</v>
      </c>
      <c r="N502" s="17">
        <f t="shared" si="631"/>
        <v>273702.84000000003</v>
      </c>
      <c r="O502" s="17">
        <f t="shared" si="631"/>
        <v>216317.50799999997</v>
      </c>
      <c r="P502" s="17">
        <f t="shared" si="631"/>
        <v>132688.92499999999</v>
      </c>
      <c r="Q502" s="17">
        <f t="shared" si="631"/>
        <v>529926.14399999997</v>
      </c>
      <c r="R502" s="17">
        <f t="shared" si="631"/>
        <v>3149555.21</v>
      </c>
      <c r="S502" s="17">
        <f t="shared" ref="S502:V502" si="633">S15+S32+S49+S65+S83+S101+S117+S133+S151+S168+S191+S207+S227+S242+S258+S281+S298+S314+S329+S347+S365+S386+S402+S418+S433+S448+S463+S485</f>
        <v>0</v>
      </c>
      <c r="T502" s="17">
        <f t="shared" si="633"/>
        <v>0</v>
      </c>
      <c r="U502" s="17">
        <f t="shared" si="633"/>
        <v>0</v>
      </c>
      <c r="V502" s="17">
        <f t="shared" si="633"/>
        <v>0</v>
      </c>
      <c r="W502" s="109"/>
      <c r="X502" s="109"/>
    </row>
    <row r="503" spans="1:24" s="8" customFormat="1" ht="21" customHeight="1" x14ac:dyDescent="0.25">
      <c r="A503" s="125" t="s">
        <v>19</v>
      </c>
      <c r="B503" s="126"/>
      <c r="C503" s="126"/>
      <c r="D503" s="126"/>
      <c r="E503" s="126"/>
      <c r="F503" s="126"/>
      <c r="G503" s="10">
        <f>G16+G33+G50+G66+G84+G102+G118+G134+G152+G169+G192+G208+G228+G243+G259+G282+G299+G315+G330+G348+G366+G387+G403+G419+G434+G449+G464+G486</f>
        <v>3752452.7400000007</v>
      </c>
      <c r="H503" s="10">
        <f t="shared" ref="H503:R503" si="634">H16+H33+H50+H66+H84+H102+H118+H134+H152+H169+H192+H208+H228+H243+H259+H282+H299+H315+H330+H348+H366+H387+H403+H419+H434+H449+H464+H486</f>
        <v>372604.31999999995</v>
      </c>
      <c r="I503" s="10">
        <f t="shared" si="634"/>
        <v>5710158.5039999988</v>
      </c>
      <c r="J503" s="10">
        <f t="shared" si="634"/>
        <v>4121670.8879999998</v>
      </c>
      <c r="K503" s="10">
        <f t="shared" si="634"/>
        <v>1556325.0959999999</v>
      </c>
      <c r="L503" s="10">
        <f t="shared" si="634"/>
        <v>5055160.8600000003</v>
      </c>
      <c r="M503" s="10">
        <f t="shared" si="634"/>
        <v>3316178.4480000003</v>
      </c>
      <c r="N503" s="10">
        <f t="shared" si="634"/>
        <v>3284434.08</v>
      </c>
      <c r="O503" s="10">
        <f t="shared" si="634"/>
        <v>2595810.0959999999</v>
      </c>
      <c r="P503" s="10">
        <f t="shared" si="634"/>
        <v>1592267.0999999999</v>
      </c>
      <c r="Q503" s="10">
        <f t="shared" si="634"/>
        <v>5384132.4240000006</v>
      </c>
      <c r="R503" s="10">
        <f t="shared" si="634"/>
        <v>36741194.555999994</v>
      </c>
      <c r="S503" s="51"/>
      <c r="T503" s="38"/>
      <c r="U503" s="38"/>
      <c r="V503" s="38"/>
    </row>
    <row r="504" spans="1:24" ht="15" customHeight="1" x14ac:dyDescent="0.25">
      <c r="A504" s="127" t="s">
        <v>74</v>
      </c>
      <c r="B504" s="128"/>
      <c r="C504" s="128"/>
      <c r="D504" s="128"/>
      <c r="E504" s="128"/>
      <c r="F504" s="128"/>
      <c r="G504" s="17">
        <f>G17+G34+G51+G67+G85+G103+G119+G135+G153+G170+G193+G209+G229+G244+G260+G283+G300+G316+G331+G349+G367+G388+G404+G420+G435+G450+G465+G487</f>
        <v>3752452.7400000007</v>
      </c>
      <c r="H504" s="17">
        <f t="shared" ref="H504:R504" si="635">H17+H34+H51+H67+H85+H103+H119+H135+H153+H170+H193+H209+H229+H244+H260+H283+H300+H316+H331+H349+H367+H388+H404+H420+H435+H450+H465+H487</f>
        <v>372604.31999999995</v>
      </c>
      <c r="I504" s="17">
        <f t="shared" si="635"/>
        <v>5710158.5039999988</v>
      </c>
      <c r="J504" s="17">
        <f t="shared" si="635"/>
        <v>4121670.8879999998</v>
      </c>
      <c r="K504" s="17">
        <f t="shared" si="635"/>
        <v>1556325.0959999999</v>
      </c>
      <c r="L504" s="17">
        <f t="shared" si="635"/>
        <v>5055160.8600000003</v>
      </c>
      <c r="M504" s="17">
        <f t="shared" si="635"/>
        <v>3316178.4480000003</v>
      </c>
      <c r="N504" s="17">
        <f t="shared" si="635"/>
        <v>3284434.08</v>
      </c>
      <c r="O504" s="17">
        <f t="shared" si="635"/>
        <v>2595810.0959999999</v>
      </c>
      <c r="P504" s="17">
        <f t="shared" si="635"/>
        <v>1592267.0999999999</v>
      </c>
      <c r="Q504" s="17">
        <f t="shared" si="635"/>
        <v>5384132.4240000006</v>
      </c>
      <c r="R504" s="17">
        <f t="shared" si="635"/>
        <v>36741194.555999994</v>
      </c>
      <c r="S504" s="49"/>
      <c r="T504" s="37">
        <f>T17+T34+T51+T67+T85+T103+T119+T135+T153+T170+T193+T209+T229+T244+T260+T283+T300+T316+T331+T349+T367+T388+T404+T420+T435+T450+T465+T487</f>
        <v>22987810.219999995</v>
      </c>
      <c r="U504" s="37">
        <f>U17+U34+U51+U67+U85+U103+U119+U135+U153+U170+U193+U209+U229+U244+U260+U283+U300+U316+U331+U349+U367+U388+U404+U420+U435+U450+U465+U487</f>
        <v>3304525.53</v>
      </c>
      <c r="V504" s="37">
        <f>V17+V34+V51+V67+V85+V103+V119+V135+V153+V170+V193+V209+V229+V244+V260+V283+V300+V316+V331+V349+V367+V388+V404+V420+V435+V450+V465+V487</f>
        <v>0</v>
      </c>
    </row>
    <row r="505" spans="1:24" ht="15" customHeight="1" x14ac:dyDescent="0.25">
      <c r="A505" s="127" t="s">
        <v>75</v>
      </c>
      <c r="B505" s="128"/>
      <c r="C505" s="128"/>
      <c r="D505" s="128"/>
      <c r="E505" s="128"/>
      <c r="F505" s="128"/>
      <c r="G505" s="17">
        <f>G18+G35+G52+G68+G86+G104+G120+G136+G154+G171+G194+G210+G230+G245+G261+G284+G301+G317+G332+G350+G368+G389+G405+G421+G436+G451+G466+G488</f>
        <v>3752452.7400000007</v>
      </c>
      <c r="H505" s="17">
        <f t="shared" ref="H505:R505" si="636">H18+H35+H52+H68+H86+H104+H120+H136+H154+H171+H194+H210+H230+H245+H261+H284+H301+H317+H332+H350+H368+H389+H405+H421+H436+H451+H466+H488</f>
        <v>372604.31999999995</v>
      </c>
      <c r="I505" s="17">
        <f t="shared" si="636"/>
        <v>5710158.5039999988</v>
      </c>
      <c r="J505" s="17">
        <f t="shared" si="636"/>
        <v>4121670.8879999998</v>
      </c>
      <c r="K505" s="17">
        <f t="shared" si="636"/>
        <v>1556325.0959999999</v>
      </c>
      <c r="L505" s="17">
        <f t="shared" si="636"/>
        <v>5055160.8600000003</v>
      </c>
      <c r="M505" s="17">
        <f t="shared" si="636"/>
        <v>3316178.4480000003</v>
      </c>
      <c r="N505" s="17">
        <f t="shared" si="636"/>
        <v>3284434.08</v>
      </c>
      <c r="O505" s="17">
        <f t="shared" si="636"/>
        <v>2595810.0959999999</v>
      </c>
      <c r="P505" s="17">
        <f t="shared" si="636"/>
        <v>1592267.0999999999</v>
      </c>
      <c r="Q505" s="17">
        <f t="shared" si="636"/>
        <v>5384132.4240000006</v>
      </c>
      <c r="R505" s="17">
        <f t="shared" si="636"/>
        <v>36741194.555999994</v>
      </c>
      <c r="S505" s="49">
        <f>R505/R504*100</f>
        <v>100</v>
      </c>
      <c r="T505" s="37">
        <f>T18+T35+T68+T86+T104+T120+T136+T154+T171+T194+T210+T230+T245+T261+T284+T301+T317+T332+T350+T368+T389+T405+T421+T436+T451+T466+T488+T52</f>
        <v>14146507.370000001</v>
      </c>
      <c r="U505" s="37">
        <f>U18+U35+U68+U86+U104+U120+U136+U154+U171+U194+U210+U230+U245+U261+U284+U301+U317+U332+U350+U368+U389+U405+U421+U436+U451+U466+U488+U52</f>
        <v>2091485.523</v>
      </c>
      <c r="V505" s="37">
        <f>V18+V35+V68+V86+V104+V120+V136+V154+V171+V194+V210+V230+V245+V261+V284+V301+V317+V332+V350+V368+V389+V405+V421+V436+V451+V466+V488+V52</f>
        <v>0</v>
      </c>
    </row>
    <row r="506" spans="1:24" ht="18.75" customHeight="1" x14ac:dyDescent="0.25">
      <c r="A506" s="121" t="s">
        <v>18</v>
      </c>
      <c r="B506" s="122"/>
      <c r="C506" s="122"/>
      <c r="D506" s="122"/>
      <c r="E506" s="122"/>
      <c r="F506" s="122"/>
      <c r="G506" s="17">
        <f t="shared" ref="G506:R506" si="637">G19+G36+G53+G69+G87+G105+G121+G137+G155+G172+G195+G211+G231+G246+G262+G285+G302+G318+G333+G351+G369+G390+G406+G422+G437+G452+G467+G489</f>
        <v>0</v>
      </c>
      <c r="H506" s="17">
        <f t="shared" si="637"/>
        <v>0</v>
      </c>
      <c r="I506" s="17">
        <f t="shared" si="637"/>
        <v>0</v>
      </c>
      <c r="J506" s="17">
        <f t="shared" si="637"/>
        <v>0</v>
      </c>
      <c r="K506" s="17">
        <f t="shared" si="637"/>
        <v>0</v>
      </c>
      <c r="L506" s="17">
        <f t="shared" si="637"/>
        <v>0</v>
      </c>
      <c r="M506" s="17">
        <f t="shared" si="637"/>
        <v>0</v>
      </c>
      <c r="N506" s="17">
        <f t="shared" si="637"/>
        <v>0</v>
      </c>
      <c r="O506" s="17">
        <f t="shared" si="637"/>
        <v>0</v>
      </c>
      <c r="P506" s="17">
        <f t="shared" si="637"/>
        <v>0</v>
      </c>
      <c r="Q506" s="17">
        <f t="shared" si="637"/>
        <v>0</v>
      </c>
      <c r="R506" s="66">
        <f t="shared" si="637"/>
        <v>0</v>
      </c>
      <c r="S506" s="49"/>
      <c r="T506" s="37">
        <f>T19+T36+T53+T69+T87+T105+T121+T137+T155+T172+T195+T211+T231+T246+T285+T302+T318+T333+T351+T369+T390+T406+T422+T437+T452+T467+T489+T262</f>
        <v>8841302.8499999996</v>
      </c>
      <c r="U506" s="37">
        <f>U19+U36+U53+U69+U87+U105+U121+U137+U155+U172+U195+U211+U231+U246+U285+U302+U318+U333+U351+U369+U390+U406+U422+U437+U452+U467+U489+U262</f>
        <v>1213040.0070000002</v>
      </c>
      <c r="V506" s="38">
        <f>V19+V36+V53+V69+V87+V105+V121+V137+V155+V172+V195+V211+V231+V246+V285+V302+V318+V333+V351+V369+V390+V406+V422+V437+V452+V467+V489+V262</f>
        <v>10054342.856999999</v>
      </c>
    </row>
    <row r="507" spans="1:24" ht="15" customHeight="1" x14ac:dyDescent="0.25">
      <c r="A507" s="132" t="s">
        <v>17</v>
      </c>
      <c r="B507" s="133"/>
      <c r="C507" s="133"/>
      <c r="D507" s="133"/>
      <c r="E507" s="133"/>
      <c r="F507" s="133"/>
      <c r="G507" s="17">
        <f t="shared" ref="G507:R507" si="638">G20+G37+G54+G70+G88+G106+G122+G138+G156+G173+G196+G212+G232+G247+G263+G286+G303+G319+G334+G352+G370+G391+G407+G423+G438+G453+G468+G490</f>
        <v>0</v>
      </c>
      <c r="H507" s="17">
        <f t="shared" si="638"/>
        <v>0</v>
      </c>
      <c r="I507" s="17">
        <f t="shared" si="638"/>
        <v>0</v>
      </c>
      <c r="J507" s="17">
        <f t="shared" si="638"/>
        <v>0</v>
      </c>
      <c r="K507" s="17">
        <f t="shared" si="638"/>
        <v>0</v>
      </c>
      <c r="L507" s="69">
        <f t="shared" si="638"/>
        <v>3728351.3100000005</v>
      </c>
      <c r="M507" s="17">
        <f t="shared" si="638"/>
        <v>0</v>
      </c>
      <c r="N507" s="17">
        <f t="shared" si="638"/>
        <v>0</v>
      </c>
      <c r="O507" s="17">
        <f t="shared" si="638"/>
        <v>0</v>
      </c>
      <c r="P507" s="17">
        <f t="shared" si="638"/>
        <v>0</v>
      </c>
      <c r="Q507" s="17">
        <f t="shared" si="638"/>
        <v>0</v>
      </c>
      <c r="R507" s="66">
        <f t="shared" si="638"/>
        <v>0</v>
      </c>
      <c r="S507" s="49"/>
      <c r="T507" s="37"/>
      <c r="U507" s="37"/>
      <c r="V507" s="38"/>
    </row>
    <row r="508" spans="1:24" ht="15.75" customHeight="1" thickBot="1" x14ac:dyDescent="0.3">
      <c r="A508" s="136" t="s">
        <v>20</v>
      </c>
      <c r="B508" s="137"/>
      <c r="C508" s="137"/>
      <c r="D508" s="137"/>
      <c r="E508" s="137"/>
      <c r="F508" s="137"/>
      <c r="G508" s="24">
        <f t="shared" ref="G508:R508" si="639">G23+G45+G61+G79+G97+G113+G129+G147+G164+G183+G199+G219+G238+G254+G277+G294+G310+G325+G343+G361+G382+G398+G414+G429+G444+G459+G481+G498</f>
        <v>0</v>
      </c>
      <c r="H508" s="24">
        <f t="shared" si="639"/>
        <v>0</v>
      </c>
      <c r="I508" s="24">
        <f t="shared" si="639"/>
        <v>0</v>
      </c>
      <c r="J508" s="24">
        <f t="shared" si="639"/>
        <v>0</v>
      </c>
      <c r="K508" s="24">
        <f t="shared" si="639"/>
        <v>0</v>
      </c>
      <c r="L508" s="72">
        <f t="shared" si="639"/>
        <v>1182024.7080000006</v>
      </c>
      <c r="M508" s="24">
        <f t="shared" si="639"/>
        <v>0</v>
      </c>
      <c r="N508" s="24">
        <f t="shared" si="639"/>
        <v>0</v>
      </c>
      <c r="O508" s="24">
        <f t="shared" si="639"/>
        <v>0</v>
      </c>
      <c r="P508" s="24">
        <f t="shared" si="639"/>
        <v>0</v>
      </c>
      <c r="Q508" s="24">
        <f t="shared" si="639"/>
        <v>0</v>
      </c>
      <c r="R508" s="68">
        <f t="shared" si="639"/>
        <v>0</v>
      </c>
      <c r="S508" s="52"/>
      <c r="T508" s="39"/>
      <c r="U508" s="39"/>
      <c r="V508" s="45"/>
    </row>
    <row r="509" spans="1:24" x14ac:dyDescent="0.25">
      <c r="C509" s="1"/>
      <c r="D509" s="1"/>
      <c r="E509" s="1"/>
      <c r="F509" s="1"/>
    </row>
    <row r="510" spans="1:24" x14ac:dyDescent="0.25">
      <c r="C510" s="1"/>
      <c r="D510" s="1"/>
      <c r="E510" s="1"/>
      <c r="F510" s="1"/>
      <c r="L510" s="19"/>
      <c r="M510" s="19"/>
      <c r="N510" s="19"/>
      <c r="O510" s="19"/>
    </row>
    <row r="511" spans="1:24" x14ac:dyDescent="0.25">
      <c r="C511" s="1"/>
      <c r="D511" s="1"/>
      <c r="E511" s="1"/>
      <c r="F511" s="1"/>
      <c r="L511" s="19"/>
      <c r="M511" s="19"/>
      <c r="N511" s="19"/>
      <c r="O511" s="19"/>
    </row>
    <row r="512" spans="1:24" x14ac:dyDescent="0.25">
      <c r="C512" s="1"/>
      <c r="D512" s="1"/>
      <c r="E512" s="1"/>
      <c r="F512" s="1"/>
      <c r="G512" s="19"/>
      <c r="L512" s="19"/>
    </row>
    <row r="513" spans="3:16" x14ac:dyDescent="0.25">
      <c r="C513" s="1"/>
      <c r="D513" s="1"/>
      <c r="E513" s="1"/>
      <c r="F513" s="1"/>
      <c r="L513" s="19"/>
    </row>
    <row r="517" spans="3:16" x14ac:dyDescent="0.25">
      <c r="P517" s="19"/>
    </row>
    <row r="518" spans="3:16" x14ac:dyDescent="0.25">
      <c r="O518" s="19"/>
    </row>
    <row r="519" spans="3:16" x14ac:dyDescent="0.25">
      <c r="M519" s="19"/>
      <c r="P519" s="19"/>
    </row>
  </sheetData>
  <mergeCells count="498">
    <mergeCell ref="A15:F15"/>
    <mergeCell ref="A485:F485"/>
    <mergeCell ref="A502:F502"/>
    <mergeCell ref="A329:F329"/>
    <mergeCell ref="A347:F347"/>
    <mergeCell ref="A365:F365"/>
    <mergeCell ref="A386:F386"/>
    <mergeCell ref="A402:F402"/>
    <mergeCell ref="A418:F418"/>
    <mergeCell ref="A433:F433"/>
    <mergeCell ref="A448:F448"/>
    <mergeCell ref="A463:F463"/>
    <mergeCell ref="A480:F480"/>
    <mergeCell ref="A443:F443"/>
    <mergeCell ref="A379:F379"/>
    <mergeCell ref="A377:F377"/>
    <mergeCell ref="A341:F341"/>
    <mergeCell ref="A342:F342"/>
    <mergeCell ref="A375:F375"/>
    <mergeCell ref="A372:F372"/>
    <mergeCell ref="A373:F373"/>
    <mergeCell ref="A469:F469"/>
    <mergeCell ref="A470:F470"/>
    <mergeCell ref="A472:F472"/>
    <mergeCell ref="A203:F203"/>
    <mergeCell ref="A207:F207"/>
    <mergeCell ref="A223:F223"/>
    <mergeCell ref="A227:F227"/>
    <mergeCell ref="A242:F242"/>
    <mergeCell ref="A258:F258"/>
    <mergeCell ref="A281:F281"/>
    <mergeCell ref="A298:F298"/>
    <mergeCell ref="A314:F314"/>
    <mergeCell ref="A218:F218"/>
    <mergeCell ref="A269:F269"/>
    <mergeCell ref="A292:F292"/>
    <mergeCell ref="A253:F253"/>
    <mergeCell ref="A237:F237"/>
    <mergeCell ref="A252:F252"/>
    <mergeCell ref="A309:F309"/>
    <mergeCell ref="A308:F308"/>
    <mergeCell ref="A266:F266"/>
    <mergeCell ref="A268:F268"/>
    <mergeCell ref="A273:F273"/>
    <mergeCell ref="A270:F270"/>
    <mergeCell ref="A271:F271"/>
    <mergeCell ref="A272:F272"/>
    <mergeCell ref="A249:F249"/>
    <mergeCell ref="A49:F49"/>
    <mergeCell ref="A65:F65"/>
    <mergeCell ref="A83:F83"/>
    <mergeCell ref="A101:F101"/>
    <mergeCell ref="A117:F117"/>
    <mergeCell ref="A133:F133"/>
    <mergeCell ref="A151:F151"/>
    <mergeCell ref="A168:F168"/>
    <mergeCell ref="A191:F191"/>
    <mergeCell ref="A187:F187"/>
    <mergeCell ref="A112:F112"/>
    <mergeCell ref="A179:F179"/>
    <mergeCell ref="A180:F180"/>
    <mergeCell ref="A94:F94"/>
    <mergeCell ref="A109:F109"/>
    <mergeCell ref="A125:F125"/>
    <mergeCell ref="A141:F141"/>
    <mergeCell ref="A174:F174"/>
    <mergeCell ref="A175:F175"/>
    <mergeCell ref="A176:F176"/>
    <mergeCell ref="A177:F177"/>
    <mergeCell ref="A107:F107"/>
    <mergeCell ref="A138:F138"/>
    <mergeCell ref="A96:F96"/>
    <mergeCell ref="A32:F32"/>
    <mergeCell ref="A428:F428"/>
    <mergeCell ref="A146:F146"/>
    <mergeCell ref="A182:F182"/>
    <mergeCell ref="A246:F246"/>
    <mergeCell ref="A247:F247"/>
    <mergeCell ref="A256:F256"/>
    <mergeCell ref="A259:F259"/>
    <mergeCell ref="A181:F181"/>
    <mergeCell ref="A355:F355"/>
    <mergeCell ref="A370:F370"/>
    <mergeCell ref="A396:F396"/>
    <mergeCell ref="A382:F382"/>
    <mergeCell ref="A384:F384"/>
    <mergeCell ref="A385:F385"/>
    <mergeCell ref="A374:F374"/>
    <mergeCell ref="A378:F378"/>
    <mergeCell ref="A376:F376"/>
    <mergeCell ref="A217:F217"/>
    <mergeCell ref="A400:F400"/>
    <mergeCell ref="A360:F360"/>
    <mergeCell ref="A381:F381"/>
    <mergeCell ref="A388:F388"/>
    <mergeCell ref="A293:F293"/>
    <mergeCell ref="A345:F345"/>
    <mergeCell ref="A323:F323"/>
    <mergeCell ref="A261:F261"/>
    <mergeCell ref="A241:F241"/>
    <mergeCell ref="A231:F231"/>
    <mergeCell ref="A232:F232"/>
    <mergeCell ref="A288:F288"/>
    <mergeCell ref="A369:F369"/>
    <mergeCell ref="A356:F356"/>
    <mergeCell ref="A366:F366"/>
    <mergeCell ref="A367:F367"/>
    <mergeCell ref="A368:F368"/>
    <mergeCell ref="A339:F339"/>
    <mergeCell ref="A350:F350"/>
    <mergeCell ref="A351:F351"/>
    <mergeCell ref="A353:F353"/>
    <mergeCell ref="A359:F359"/>
    <mergeCell ref="A257:F257"/>
    <mergeCell ref="A280:F280"/>
    <mergeCell ref="A297:F297"/>
    <mergeCell ref="A262:F262"/>
    <mergeCell ref="A263:F263"/>
    <mergeCell ref="A277:F277"/>
    <mergeCell ref="A279:F279"/>
    <mergeCell ref="A471:F471"/>
    <mergeCell ref="A451:F451"/>
    <mergeCell ref="A412:F412"/>
    <mergeCell ref="A411:F411"/>
    <mergeCell ref="A437:F437"/>
    <mergeCell ref="A466:F466"/>
    <mergeCell ref="A467:F467"/>
    <mergeCell ref="A462:F462"/>
    <mergeCell ref="A417:F417"/>
    <mergeCell ref="A450:F450"/>
    <mergeCell ref="A459:F459"/>
    <mergeCell ref="A461:F461"/>
    <mergeCell ref="A464:F464"/>
    <mergeCell ref="A458:F458"/>
    <mergeCell ref="A456:F456"/>
    <mergeCell ref="A425:F425"/>
    <mergeCell ref="A439:F439"/>
    <mergeCell ref="A414:F414"/>
    <mergeCell ref="A416:F416"/>
    <mergeCell ref="A419:F419"/>
    <mergeCell ref="A420:F420"/>
    <mergeCell ref="A440:F440"/>
    <mergeCell ref="A421:F421"/>
    <mergeCell ref="A398:F398"/>
    <mergeCell ref="A387:F387"/>
    <mergeCell ref="A403:F403"/>
    <mergeCell ref="A392:F392"/>
    <mergeCell ref="A393:F393"/>
    <mergeCell ref="A401:F401"/>
    <mergeCell ref="A395:F395"/>
    <mergeCell ref="A457:F457"/>
    <mergeCell ref="A453:F453"/>
    <mergeCell ref="A454:F454"/>
    <mergeCell ref="A455:F455"/>
    <mergeCell ref="A390:F390"/>
    <mergeCell ref="A391:F391"/>
    <mergeCell ref="A389:F389"/>
    <mergeCell ref="A397:F397"/>
    <mergeCell ref="A404:F404"/>
    <mergeCell ref="A405:F405"/>
    <mergeCell ref="A406:F406"/>
    <mergeCell ref="A407:F407"/>
    <mergeCell ref="A409:F409"/>
    <mergeCell ref="A410:F410"/>
    <mergeCell ref="A423:F423"/>
    <mergeCell ref="A484:F484"/>
    <mergeCell ref="A501:F501"/>
    <mergeCell ref="A394:F394"/>
    <mergeCell ref="A426:F426"/>
    <mergeCell ref="A441:F441"/>
    <mergeCell ref="A452:F452"/>
    <mergeCell ref="A429:F429"/>
    <mergeCell ref="A431:F431"/>
    <mergeCell ref="A434:F434"/>
    <mergeCell ref="A435:F435"/>
    <mergeCell ref="A436:F436"/>
    <mergeCell ref="A424:F424"/>
    <mergeCell ref="A444:F444"/>
    <mergeCell ref="A446:F446"/>
    <mergeCell ref="A449:F449"/>
    <mergeCell ref="A427:F427"/>
    <mergeCell ref="A442:F442"/>
    <mergeCell ref="A408:F408"/>
    <mergeCell ref="A479:F479"/>
    <mergeCell ref="A432:F432"/>
    <mergeCell ref="A447:F447"/>
    <mergeCell ref="A422:F422"/>
    <mergeCell ref="A474:F474"/>
    <mergeCell ref="A481:F481"/>
    <mergeCell ref="A260:F260"/>
    <mergeCell ref="A284:F284"/>
    <mergeCell ref="A307:F307"/>
    <mergeCell ref="A291:F291"/>
    <mergeCell ref="A294:F294"/>
    <mergeCell ref="A296:F296"/>
    <mergeCell ref="A299:F299"/>
    <mergeCell ref="A300:F300"/>
    <mergeCell ref="A301:F301"/>
    <mergeCell ref="A302:F302"/>
    <mergeCell ref="A306:F306"/>
    <mergeCell ref="A303:F303"/>
    <mergeCell ref="A219:F219"/>
    <mergeCell ref="A208:F208"/>
    <mergeCell ref="A250:F250"/>
    <mergeCell ref="A228:F228"/>
    <mergeCell ref="A229:F229"/>
    <mergeCell ref="A230:F230"/>
    <mergeCell ref="A220:R220"/>
    <mergeCell ref="A221:F221"/>
    <mergeCell ref="A290:F290"/>
    <mergeCell ref="A285:F285"/>
    <mergeCell ref="A264:F264"/>
    <mergeCell ref="A265:F265"/>
    <mergeCell ref="A254:F254"/>
    <mergeCell ref="A244:F244"/>
    <mergeCell ref="A245:F245"/>
    <mergeCell ref="A243:F243"/>
    <mergeCell ref="A225:F225"/>
    <mergeCell ref="A248:F248"/>
    <mergeCell ref="A286:F286"/>
    <mergeCell ref="A289:F289"/>
    <mergeCell ref="A251:F251"/>
    <mergeCell ref="A267:F267"/>
    <mergeCell ref="A282:F282"/>
    <mergeCell ref="A283:F283"/>
    <mergeCell ref="A111:F111"/>
    <mergeCell ref="A159:F159"/>
    <mergeCell ref="A100:F100"/>
    <mergeCell ref="A54:F54"/>
    <mergeCell ref="A61:F61"/>
    <mergeCell ref="A66:F66"/>
    <mergeCell ref="A67:F67"/>
    <mergeCell ref="A68:F68"/>
    <mergeCell ref="A69:F69"/>
    <mergeCell ref="A70:F70"/>
    <mergeCell ref="A79:F79"/>
    <mergeCell ref="A84:F84"/>
    <mergeCell ref="A81:F81"/>
    <mergeCell ref="A63:F63"/>
    <mergeCell ref="A75:F75"/>
    <mergeCell ref="A73:F73"/>
    <mergeCell ref="A71:F71"/>
    <mergeCell ref="A56:F56"/>
    <mergeCell ref="A72:F72"/>
    <mergeCell ref="A59:F59"/>
    <mergeCell ref="A57:F57"/>
    <mergeCell ref="A64:F64"/>
    <mergeCell ref="A82:F82"/>
    <mergeCell ref="A76:F76"/>
    <mergeCell ref="A77:F77"/>
    <mergeCell ref="S3:S6"/>
    <mergeCell ref="A7:R7"/>
    <mergeCell ref="A8:F8"/>
    <mergeCell ref="L3:L6"/>
    <mergeCell ref="M3:M6"/>
    <mergeCell ref="N3:N6"/>
    <mergeCell ref="O3:O6"/>
    <mergeCell ref="A22:F22"/>
    <mergeCell ref="A39:F39"/>
    <mergeCell ref="A16:F16"/>
    <mergeCell ref="A33:F33"/>
    <mergeCell ref="A25:F25"/>
    <mergeCell ref="A13:F13"/>
    <mergeCell ref="G3:G6"/>
    <mergeCell ref="H3:H6"/>
    <mergeCell ref="A5:A6"/>
    <mergeCell ref="B5:B6"/>
    <mergeCell ref="A30:F30"/>
    <mergeCell ref="A26:F26"/>
    <mergeCell ref="A34:F34"/>
    <mergeCell ref="A27:F27"/>
    <mergeCell ref="A21:F21"/>
    <mergeCell ref="A10:F10"/>
    <mergeCell ref="A14:F14"/>
    <mergeCell ref="A1:F1"/>
    <mergeCell ref="A3:B4"/>
    <mergeCell ref="C3:C6"/>
    <mergeCell ref="D3:D6"/>
    <mergeCell ref="E3:E6"/>
    <mergeCell ref="F3:F6"/>
    <mergeCell ref="A12:F12"/>
    <mergeCell ref="A9:F9"/>
    <mergeCell ref="A2:R2"/>
    <mergeCell ref="Q3:Q6"/>
    <mergeCell ref="R3:R6"/>
    <mergeCell ref="J3:J6"/>
    <mergeCell ref="K3:K6"/>
    <mergeCell ref="P3:P6"/>
    <mergeCell ref="I3:I6"/>
    <mergeCell ref="A209:F209"/>
    <mergeCell ref="A205:F205"/>
    <mergeCell ref="A211:F211"/>
    <mergeCell ref="A19:F19"/>
    <mergeCell ref="A20:F20"/>
    <mergeCell ref="A42:F42"/>
    <mergeCell ref="A43:F43"/>
    <mergeCell ref="A185:F185"/>
    <mergeCell ref="A189:F189"/>
    <mergeCell ref="A197:F197"/>
    <mergeCell ref="A198:F198"/>
    <mergeCell ref="A192:F192"/>
    <mergeCell ref="A193:F193"/>
    <mergeCell ref="A24:F24"/>
    <mergeCell ref="A41:F41"/>
    <mergeCell ref="A91:F91"/>
    <mergeCell ref="A51:F51"/>
    <mergeCell ref="A35:F35"/>
    <mergeCell ref="A36:F36"/>
    <mergeCell ref="A47:F47"/>
    <mergeCell ref="A45:F45"/>
    <mergeCell ref="A85:F85"/>
    <mergeCell ref="A52:F52"/>
    <mergeCell ref="A53:F53"/>
    <mergeCell ref="A477:F477"/>
    <mergeCell ref="A476:F476"/>
    <mergeCell ref="A478:F478"/>
    <mergeCell ref="A319:F319"/>
    <mergeCell ref="A363:F363"/>
    <mergeCell ref="A335:F335"/>
    <mergeCell ref="A336:F336"/>
    <mergeCell ref="A348:F348"/>
    <mergeCell ref="A349:F349"/>
    <mergeCell ref="A371:F371"/>
    <mergeCell ref="A324:F324"/>
    <mergeCell ref="A343:F343"/>
    <mergeCell ref="A364:F364"/>
    <mergeCell ref="A338:F338"/>
    <mergeCell ref="A357:F357"/>
    <mergeCell ref="A358:F358"/>
    <mergeCell ref="A352:F352"/>
    <mergeCell ref="A361:F361"/>
    <mergeCell ref="A330:F330"/>
    <mergeCell ref="A354:F354"/>
    <mergeCell ref="A327:F327"/>
    <mergeCell ref="A468:F468"/>
    <mergeCell ref="A438:F438"/>
    <mergeCell ref="A465:F465"/>
    <mergeCell ref="A507:F507"/>
    <mergeCell ref="A508:F508"/>
    <mergeCell ref="A490:F490"/>
    <mergeCell ref="A498:F498"/>
    <mergeCell ref="A500:F500"/>
    <mergeCell ref="A503:F503"/>
    <mergeCell ref="A499:C499"/>
    <mergeCell ref="A491:F491"/>
    <mergeCell ref="A492:F492"/>
    <mergeCell ref="A493:F493"/>
    <mergeCell ref="A494:F494"/>
    <mergeCell ref="A495:F495"/>
    <mergeCell ref="A504:F504"/>
    <mergeCell ref="A505:F505"/>
    <mergeCell ref="A506:F506"/>
    <mergeCell ref="A496:F496"/>
    <mergeCell ref="A497:F497"/>
    <mergeCell ref="A488:F488"/>
    <mergeCell ref="A489:F489"/>
    <mergeCell ref="A475:F475"/>
    <mergeCell ref="A486:F486"/>
    <mergeCell ref="A487:F487"/>
    <mergeCell ref="A483:F483"/>
    <mergeCell ref="A473:F473"/>
    <mergeCell ref="V3:V7"/>
    <mergeCell ref="A124:F124"/>
    <mergeCell ref="A86:F86"/>
    <mergeCell ref="A87:F87"/>
    <mergeCell ref="A88:F88"/>
    <mergeCell ref="A97:F97"/>
    <mergeCell ref="A102:F102"/>
    <mergeCell ref="A103:F103"/>
    <mergeCell ref="A99:F99"/>
    <mergeCell ref="A122:F122"/>
    <mergeCell ref="A37:F37"/>
    <mergeCell ref="A118:F118"/>
    <mergeCell ref="A119:F119"/>
    <mergeCell ref="A120:F120"/>
    <mergeCell ref="A121:F121"/>
    <mergeCell ref="A123:F123"/>
    <mergeCell ref="A104:F104"/>
    <mergeCell ref="T3:U6"/>
    <mergeCell ref="A184:R184"/>
    <mergeCell ref="A23:F23"/>
    <mergeCell ref="A93:F93"/>
    <mergeCell ref="A92:F92"/>
    <mergeCell ref="A28:F28"/>
    <mergeCell ref="A40:F40"/>
    <mergeCell ref="A58:F58"/>
    <mergeCell ref="A74:F74"/>
    <mergeCell ref="A89:F89"/>
    <mergeCell ref="A60:F60"/>
    <mergeCell ref="A90:F90"/>
    <mergeCell ref="A38:F38"/>
    <mergeCell ref="A31:F31"/>
    <mergeCell ref="A48:F48"/>
    <mergeCell ref="A50:F50"/>
    <mergeCell ref="A17:F17"/>
    <mergeCell ref="A55:F55"/>
    <mergeCell ref="A95:F95"/>
    <mergeCell ref="A110:F110"/>
    <mergeCell ref="A126:F126"/>
    <mergeCell ref="A142:F142"/>
    <mergeCell ref="A105:F105"/>
    <mergeCell ref="A18:F18"/>
    <mergeCell ref="A200:R200"/>
    <mergeCell ref="A106:F106"/>
    <mergeCell ref="A113:F113"/>
    <mergeCell ref="A115:F115"/>
    <mergeCell ref="A129:F129"/>
    <mergeCell ref="A152:F152"/>
    <mergeCell ref="A153:F153"/>
    <mergeCell ref="A154:F154"/>
    <mergeCell ref="A139:F139"/>
    <mergeCell ref="A128:F128"/>
    <mergeCell ref="A145:F145"/>
    <mergeCell ref="A116:F116"/>
    <mergeCell ref="A132:F132"/>
    <mergeCell ref="A150:F150"/>
    <mergeCell ref="A108:F108"/>
    <mergeCell ref="A169:F169"/>
    <mergeCell ref="A131:F131"/>
    <mergeCell ref="A149:F149"/>
    <mergeCell ref="A144:F144"/>
    <mergeCell ref="A155:F155"/>
    <mergeCell ref="A157:F157"/>
    <mergeCell ref="A158:F158"/>
    <mergeCell ref="A127:F127"/>
    <mergeCell ref="A147:F147"/>
    <mergeCell ref="A334:F334"/>
    <mergeCell ref="A304:F304"/>
    <mergeCell ref="A167:F167"/>
    <mergeCell ref="A178:F178"/>
    <mergeCell ref="A190:F190"/>
    <mergeCell ref="A202:F202"/>
    <mergeCell ref="A206:F206"/>
    <mergeCell ref="A137:F137"/>
    <mergeCell ref="A166:F166"/>
    <mergeCell ref="A143:F143"/>
    <mergeCell ref="A140:F140"/>
    <mergeCell ref="A160:F160"/>
    <mergeCell ref="A161:F161"/>
    <mergeCell ref="A162:F162"/>
    <mergeCell ref="A156:F156"/>
    <mergeCell ref="A164:F164"/>
    <mergeCell ref="A171:F171"/>
    <mergeCell ref="A172:F172"/>
    <mergeCell ref="A173:F173"/>
    <mergeCell ref="A183:F183"/>
    <mergeCell ref="A196:F196"/>
    <mergeCell ref="A199:F199"/>
    <mergeCell ref="A170:F170"/>
    <mergeCell ref="A201:F201"/>
    <mergeCell ref="A214:F214"/>
    <mergeCell ref="A194:F194"/>
    <mergeCell ref="A195:F195"/>
    <mergeCell ref="A212:F212"/>
    <mergeCell ref="A213:F213"/>
    <mergeCell ref="A328:F328"/>
    <mergeCell ref="A346:F346"/>
    <mergeCell ref="A337:F337"/>
    <mergeCell ref="A287:F287"/>
    <mergeCell ref="A340:F340"/>
    <mergeCell ref="A310:F310"/>
    <mergeCell ref="A312:F312"/>
    <mergeCell ref="A315:F315"/>
    <mergeCell ref="A316:F316"/>
    <mergeCell ref="A317:F317"/>
    <mergeCell ref="A318:F318"/>
    <mergeCell ref="A322:F322"/>
    <mergeCell ref="A305:F305"/>
    <mergeCell ref="A320:F320"/>
    <mergeCell ref="A321:F321"/>
    <mergeCell ref="A325:F325"/>
    <mergeCell ref="A331:F331"/>
    <mergeCell ref="A332:F332"/>
    <mergeCell ref="A333:F333"/>
    <mergeCell ref="A44:F44"/>
    <mergeCell ref="A78:F78"/>
    <mergeCell ref="A276:F276"/>
    <mergeCell ref="A380:F380"/>
    <mergeCell ref="A413:F413"/>
    <mergeCell ref="A274:F274"/>
    <mergeCell ref="A275:F275"/>
    <mergeCell ref="A222:F222"/>
    <mergeCell ref="A226:F226"/>
    <mergeCell ref="A134:F134"/>
    <mergeCell ref="A135:F135"/>
    <mergeCell ref="A186:F186"/>
    <mergeCell ref="A136:F136"/>
    <mergeCell ref="A313:F313"/>
    <mergeCell ref="A238:F238"/>
    <mergeCell ref="A240:F240"/>
    <mergeCell ref="A233:F233"/>
    <mergeCell ref="A234:F234"/>
    <mergeCell ref="A235:F235"/>
    <mergeCell ref="A236:F236"/>
    <mergeCell ref="A215:F215"/>
    <mergeCell ref="A210:F210"/>
    <mergeCell ref="A216:F216"/>
    <mergeCell ref="A163:F163"/>
  </mergeCells>
  <pageMargins left="0.31496062992125984" right="0.31496062992125984" top="0.35433070866141736" bottom="0.35433070866141736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Расшифровка Скор-ий-2018г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2018-12-19T13:12:03Z</dcterms:modified>
</cp:coreProperties>
</file>